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'EC'!$A$1:$AH$83</definedName>
    <definedName name="_xlnm.Print_Area" localSheetId="4">'FS'!$A$1:$AH$83</definedName>
    <definedName name="_xlnm.Print_Area" localSheetId="5">'GT'!$A$1:$AH$83</definedName>
    <definedName name="_xlnm.Print_Area" localSheetId="6">'KZ'!$A$1:$AH$83</definedName>
    <definedName name="_xlnm.Print_Area" localSheetId="7">'LP'!$A$1:$AH$83</definedName>
    <definedName name="_xlnm.Print_Area" localSheetId="8">'MP'!$A$1:$AH$83</definedName>
    <definedName name="_xlnm.Print_Area" localSheetId="9">'NC'!$A$1:$AH$84</definedName>
    <definedName name="_xlnm.Print_Area" localSheetId="10">'NW'!$A$1:$AH$83</definedName>
    <definedName name="_xlnm.Print_Area" localSheetId="1">'Summary per Metro'!$A$1:$AH$83</definedName>
    <definedName name="_xlnm.Print_Area" localSheetId="0">'Summary per Province'!$A$1:$AH$83</definedName>
    <definedName name="_xlnm.Print_Area" localSheetId="2">'Summary per Top 19'!$A$1:$AH$83</definedName>
    <definedName name="_xlnm.Print_Area" localSheetId="11">'WC'!$A$1:$AH$83</definedName>
  </definedNames>
  <calcPr fullCalcOnLoad="1"/>
</workbook>
</file>

<file path=xl/sharedStrings.xml><?xml version="1.0" encoding="utf-8"?>
<sst xmlns="http://schemas.openxmlformats.org/spreadsheetml/2006/main" count="1483" uniqueCount="657">
  <si>
    <t>STATEMENT OF CAPITAL AND OPERATING REVENUE FOR THE 3rd Quarter Ended 31 March 2016</t>
  </si>
  <si>
    <t>Main appropriation</t>
  </si>
  <si>
    <t>Adjusted Budget</t>
  </si>
  <si>
    <t>First Quarter 2015/16</t>
  </si>
  <si>
    <t>Second Quarter 2015/16</t>
  </si>
  <si>
    <t>Third Quarter 2015/16</t>
  </si>
  <si>
    <t>Fourth Quarter 2015/16</t>
  </si>
  <si>
    <t>Year to date: 31 March 2016</t>
  </si>
  <si>
    <t>Third Quarter 2014/15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</si>
  <si>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</si>
  <si>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</si>
  <si>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</si>
  <si>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</si>
  <si>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</si>
  <si>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</si>
  <si>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</si>
  <si>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</si>
  <si>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</si>
  <si>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</si>
  <si>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2014/15 to Q3 of 2015/16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</si>
  <si>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</si>
  <si>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</si>
  <si>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</si>
  <si>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</si>
  <si>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</si>
  <si>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</si>
  <si>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</si>
  <si>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</si>
  <si>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</si>
  <si>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</si>
  <si>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</si>
  <si>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</si>
  <si>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</si>
  <si>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</si>
  <si>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</si>
  <si>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</si>
  <si>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</si>
  <si>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</si>
  <si>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</si>
  <si>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</si>
  <si>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</si>
  <si>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</si>
  <si>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</si>
  <si>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</si>
  <si>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</si>
  <si>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</si>
  <si>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</si>
  <si>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</si>
  <si>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</si>
  <si>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</si>
  <si>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</si>
  <si>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</si>
  <si>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</si>
  <si>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</si>
  <si>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</si>
  <si>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</si>
  <si>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</si>
  <si>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</si>
  <si>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</si>
  <si>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</si>
  <si>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</si>
  <si>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</si>
  <si>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</si>
  <si>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</si>
  <si>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</si>
  <si>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</si>
  <si>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</si>
  <si>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</si>
  <si>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</si>
  <si>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</si>
  <si>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</si>
  <si>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</si>
  <si>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</si>
  <si>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</si>
  <si>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</si>
  <si>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</si>
  <si>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</si>
  <si>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</si>
  <si>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</si>
  <si>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</si>
  <si>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</si>
  <si>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</si>
  <si>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</si>
  <si>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</si>
  <si>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</si>
  <si>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</si>
  <si>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</si>
  <si>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</si>
  <si>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</si>
  <si>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</si>
  <si>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</si>
  <si>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</si>
  <si>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</si>
  <si>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</si>
  <si>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</si>
  <si>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</si>
  <si>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</si>
  <si>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</si>
  <si>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</si>
  <si>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</si>
  <si>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</si>
  <si>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</si>
  <si>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</si>
  <si>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</si>
  <si>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</si>
  <si>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</si>
  <si>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</si>
  <si>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</si>
  <si>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</si>
  <si>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</si>
  <si>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</si>
  <si>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</si>
  <si>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</si>
  <si>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</si>
  <si>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</si>
  <si>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</si>
  <si>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</si>
  <si>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</si>
  <si>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</si>
  <si>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</si>
  <si>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</si>
  <si>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</si>
  <si>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</si>
  <si>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</si>
  <si>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</si>
  <si>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</si>
  <si>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</si>
  <si>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</si>
  <si>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</si>
  <si>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</si>
  <si>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</si>
  <si>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</si>
  <si>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</si>
  <si>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</si>
  <si>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</si>
  <si>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</si>
  <si>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</si>
  <si>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</si>
  <si>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</si>
  <si>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</si>
  <si>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</si>
  <si>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</si>
  <si>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</si>
  <si>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</si>
  <si>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</si>
  <si>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</si>
  <si>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</si>
  <si>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</si>
  <si>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</si>
  <si>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</si>
  <si>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</si>
  <si>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</si>
  <si>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</si>
  <si>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</si>
  <si>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</si>
  <si>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</si>
  <si>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</si>
  <si>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</si>
  <si>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</si>
  <si>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</si>
  <si>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</si>
  <si>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</si>
  <si>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</si>
  <si>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</si>
  <si>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</si>
  <si>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</si>
  <si>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</si>
  <si>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</si>
  <si>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</si>
  <si>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</si>
  <si>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</si>
  <si>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</si>
  <si>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</si>
  <si>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</si>
  <si>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</si>
  <si>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</si>
  <si>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</si>
  <si>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</si>
  <si>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</si>
  <si>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</si>
  <si>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</si>
  <si>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</si>
  <si>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</si>
  <si>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</si>
  <si>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</si>
  <si>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</si>
  <si>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</si>
  <si>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</si>
  <si>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</si>
  <si>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</si>
  <si>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</si>
  <si>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</si>
  <si>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</si>
  <si>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</si>
  <si>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</si>
  <si>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</si>
  <si>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</si>
  <si>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</si>
  <si>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</si>
  <si>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</si>
  <si>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</si>
  <si>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</si>
  <si>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</si>
  <si>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</si>
  <si>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</si>
  <si>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</si>
  <si>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</si>
  <si>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</si>
  <si>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</si>
  <si>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</si>
  <si>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</si>
  <si>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</si>
  <si>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</si>
  <si>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</si>
  <si>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</si>
  <si>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</si>
  <si>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</si>
  <si>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</si>
  <si>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</si>
  <si>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</si>
  <si>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</si>
  <si>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</si>
  <si>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</si>
  <si>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</si>
  <si>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</si>
  <si>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</si>
  <si>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</si>
  <si>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</si>
  <si>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</si>
  <si>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</si>
  <si>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</si>
  <si>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</si>
  <si>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</si>
  <si>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</si>
  <si>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</si>
  <si>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</si>
  <si>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</si>
  <si>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</si>
  <si>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</si>
  <si>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</si>
  <si>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</si>
  <si>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</si>
  <si>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</si>
  <si>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</si>
  <si>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</si>
  <si>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</si>
  <si>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</si>
  <si>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</si>
  <si>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</si>
  <si>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</si>
  <si>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</si>
  <si>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</si>
  <si>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</si>
  <si>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</si>
  <si>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</si>
  <si>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</si>
  <si>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</si>
  <si>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</si>
  <si>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</si>
  <si>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</si>
  <si>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</si>
  <si>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</si>
  <si>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</si>
  <si>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</si>
  <si>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</si>
  <si>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</si>
  <si>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</si>
  <si>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</si>
  <si>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</si>
  <si>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</si>
  <si>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</si>
  <si>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</si>
  <si>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</si>
  <si>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</si>
  <si>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</si>
  <si>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</si>
  <si>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</si>
  <si>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</si>
  <si>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</si>
  <si>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</si>
  <si>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</si>
  <si>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</si>
  <si>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</si>
  <si>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</si>
  <si>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</si>
  <si>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</si>
  <si>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</si>
  <si>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</si>
  <si>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</si>
  <si>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</si>
  <si>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</si>
  <si>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</si>
  <si>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</si>
  <si>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</si>
  <si>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</si>
  <si>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</si>
  <si>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</si>
  <si>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</si>
  <si>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</si>
  <si>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</si>
  <si>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</si>
  <si>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</si>
  <si>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</si>
  <si>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</si>
  <si>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</si>
  <si>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</si>
  <si>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</si>
  <si>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</si>
  <si>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</si>
  <si>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</si>
  <si>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</si>
  <si>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</si>
  <si>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</si>
  <si>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</si>
  <si>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</si>
  <si>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</si>
  <si>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</si>
  <si>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</si>
  <si>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</si>
  <si>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</si>
  <si>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</si>
  <si>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</si>
  <si>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</si>
  <si>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</si>
  <si>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</si>
  <si>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</si>
  <si>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</si>
  <si>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</si>
  <si>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</si>
  <si>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</si>
  <si>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</si>
  <si>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</si>
  <si>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</si>
  <si>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</si>
  <si>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</si>
  <si>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</si>
  <si>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</si>
  <si>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</si>
  <si>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</si>
  <si>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</si>
  <si>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</si>
  <si>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</si>
  <si>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</si>
  <si>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</si>
  <si>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</si>
  <si>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</si>
  <si>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</si>
  <si>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</si>
  <si>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</si>
  <si>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</si>
  <si>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</si>
  <si>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</si>
  <si>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</si>
  <si>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</si>
  <si>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</si>
  <si>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</si>
  <si>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</si>
  <si>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</si>
  <si>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</si>
  <si>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</si>
  <si>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</si>
  <si>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</si>
  <si>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</si>
  <si>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</si>
  <si>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</si>
  <si>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</si>
  <si>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</si>
  <si>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</si>
  <si>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</si>
  <si>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</si>
  <si>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</si>
  <si>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</si>
  <si>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</si>
  <si>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</si>
  <si>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</si>
  <si>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</si>
  <si>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</si>
  <si>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</si>
  <si>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</si>
  <si>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</si>
  <si>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</si>
  <si>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</si>
  <si>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</si>
  <si>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</si>
  <si>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</si>
  <si>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</si>
  <si>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</si>
  <si>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</si>
  <si>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</si>
  <si>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</si>
  <si>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</si>
  <si>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</si>
  <si>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</si>
  <si>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</si>
  <si>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</si>
  <si>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</si>
  <si>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</si>
  <si>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</si>
  <si>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</si>
  <si>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</si>
  <si>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</si>
  <si>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</si>
  <si>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</si>
  <si>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</si>
  <si>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</si>
  <si>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</si>
  <si>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</si>
  <si>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</si>
  <si>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</si>
  <si>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</si>
  <si>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</si>
  <si>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</si>
  <si>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</si>
  <si>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</si>
  <si>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</si>
  <si>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</si>
  <si>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</si>
  <si>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</si>
  <si>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</si>
  <si>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</si>
  <si>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</si>
  <si>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</si>
  <si>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</si>
  <si>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</si>
  <si>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</si>
  <si>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</si>
  <si>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</si>
  <si>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</si>
  <si>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</si>
  <si>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</si>
  <si>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</si>
  <si>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</si>
  <si>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</si>
  <si>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</si>
  <si>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</si>
  <si>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</si>
  <si>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</si>
  <si>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</si>
  <si>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</si>
  <si>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</si>
  <si>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</si>
  <si>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</si>
  <si>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</si>
  <si>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</si>
  <si>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</si>
  <si>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</si>
  <si>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</si>
  <si>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</si>
  <si>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</si>
  <si>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</si>
  <si>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</si>
  <si>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</si>
  <si>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</si>
  <si>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</si>
  <si>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</si>
  <si>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</si>
  <si>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</si>
  <si>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</si>
  <si>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</si>
  <si>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</si>
  <si>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</si>
  <si>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</si>
  <si>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</si>
  <si>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</si>
  <si>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</si>
  <si>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</si>
  <si>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</si>
  <si>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</si>
  <si>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</si>
  <si>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</si>
  <si>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</si>
  <si>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</si>
  <si>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</si>
  <si>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</si>
  <si>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</si>
  <si>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</si>
  <si>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</si>
  <si>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</si>
  <si>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</si>
  <si>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</si>
  <si>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</si>
  <si>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</si>
  <si>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</si>
  <si>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</si>
  <si>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</si>
  <si>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</si>
  <si>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</si>
  <si>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</si>
  <si>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</si>
  <si>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</si>
  <si>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</si>
  <si>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</si>
  <si>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</si>
  <si>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</si>
  <si>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</si>
  <si>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</si>
  <si>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</si>
  <si>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</si>
  <si>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</si>
  <si>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</si>
  <si>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</si>
  <si>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</si>
  <si>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</si>
  <si>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</si>
  <si>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</si>
  <si>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</si>
  <si>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</si>
  <si>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</si>
  <si>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</si>
  <si>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</si>
  <si>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</si>
  <si>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</si>
  <si>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</si>
  <si>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</si>
  <si>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</si>
  <si>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</si>
  <si>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</si>
  <si>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</si>
  <si>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</si>
  <si>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</si>
  <si>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</si>
  <si>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</si>
  <si>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</si>
  <si>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</si>
  <si>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</si>
  <si>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</si>
  <si>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</si>
  <si>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</si>
  <si>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</si>
  <si>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</si>
  <si>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</si>
  <si>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</si>
  <si>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</si>
  <si>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</si>
  <si>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</si>
  <si>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</si>
  <si>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</si>
  <si>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</si>
  <si>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</si>
  <si>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</si>
  <si>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</si>
  <si>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</si>
  <si>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</si>
  <si>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</si>
  <si>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</si>
  <si>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</si>
  <si>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</si>
  <si>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</si>
  <si>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</si>
  <si>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</si>
  <si>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</si>
  <si>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</si>
  <si>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</si>
  <si>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</si>
  <si>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</si>
  <si>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</si>
  <si>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</si>
  <si>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</si>
  <si>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</si>
  <si>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</si>
  <si>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</si>
  <si>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</si>
  <si>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</si>
  <si>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</si>
  <si>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</si>
  <si>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</si>
  <si>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</si>
  <si>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</si>
  <si>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</si>
  <si>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</si>
  <si>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</si>
  <si>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</si>
  <si>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</si>
  <si>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</si>
  <si>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</si>
  <si>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</si>
  <si>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</si>
  <si>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</si>
  <si>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</si>
  <si>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</si>
  <si>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</si>
  <si>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</si>
  <si>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</si>
  <si>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</si>
  <si>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</si>
  <si>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</si>
  <si>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</si>
  <si>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</si>
  <si>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</si>
  <si>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</si>
  <si>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</si>
  <si>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</si>
  <si>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</si>
  <si>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</si>
  <si>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</si>
  <si>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</si>
  <si>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</si>
  <si>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</si>
  <si>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</si>
  <si>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</si>
  <si>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</si>
  <si>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</si>
  <si>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</si>
  <si>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</si>
  <si>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</si>
  <si>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</si>
  <si>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</si>
  <si>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</si>
  <si>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</si>
  <si>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</si>
  <si>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</si>
  <si>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</si>
  <si>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</si>
  <si>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</si>
  <si>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</si>
  <si>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</si>
  <si>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</si>
  <si>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</si>
  <si>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</si>
  <si>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</si>
  <si>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</si>
  <si>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</si>
  <si>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</si>
  <si>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</si>
  <si>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</si>
  <si>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</si>
  <si>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</si>
  <si>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</si>
  <si>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</si>
  <si>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</si>
  <si>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</si>
  <si>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</si>
  <si>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</si>
  <si>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</si>
  <si>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</si>
  <si>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</si>
  <si>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</si>
  <si>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</si>
  <si>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</si>
  <si>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</si>
  <si>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</si>
  <si>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</si>
  <si>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</si>
  <si>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</si>
  <si>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</si>
  <si>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</si>
  <si>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</si>
  <si>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</si>
  <si>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</si>
  <si>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</si>
  <si>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</si>
  <si>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</si>
  <si>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</si>
  <si>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</si>
  <si>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Summary Secondary cities</t>
  </si>
  <si>
    <t xml:space="preserve">Total </t>
  </si>
  <si>
    <t>STATEMENT OF CAPITAL AND OPERATING REVENUE AS AT 31 MARCH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</si>
</sst>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9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9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left" indent="2"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181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8" fontId="9" fillId="0" borderId="0" xfId="0" applyNumberFormat="1" applyFont="1" applyFill="1" applyBorder="1" applyAlignment="1" applyProtection="1">
      <alignment horizontal="left" indent="2"/>
      <protection/>
    </xf>
    <xf numFmtId="178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5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5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3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7" fillId="0" borderId="29" xfId="0" applyNumberFormat="1" applyFont="1" applyFill="1" applyBorder="1" applyAlignment="1" applyProtection="1">
      <alignment/>
      <protection/>
    </xf>
    <xf numFmtId="182" fontId="5" fillId="0" borderId="36" xfId="0" applyNumberFormat="1" applyFont="1" applyFill="1" applyBorder="1" applyAlignment="1" applyProtection="1">
      <alignment/>
      <protection/>
    </xf>
    <xf numFmtId="182" fontId="7" fillId="0" borderId="36" xfId="0" applyNumberFormat="1" applyFont="1" applyFill="1" applyBorder="1" applyAlignment="1" applyProtection="1">
      <alignment/>
      <protection/>
    </xf>
    <xf numFmtId="182" fontId="5" fillId="0" borderId="31" xfId="0" applyNumberFormat="1" applyFont="1" applyBorder="1" applyAlignment="1" applyProtection="1">
      <alignment/>
      <protection/>
    </xf>
    <xf numFmtId="182" fontId="5" fillId="0" borderId="32" xfId="0" applyNumberFormat="1" applyFont="1" applyBorder="1" applyAlignment="1" applyProtection="1">
      <alignment/>
      <protection/>
    </xf>
    <xf numFmtId="182" fontId="5" fillId="0" borderId="33" xfId="0" applyNumberFormat="1" applyFont="1" applyBorder="1" applyAlignment="1" applyProtection="1">
      <alignment/>
      <protection/>
    </xf>
    <xf numFmtId="182" fontId="5" fillId="0" borderId="30" xfId="0" applyNumberFormat="1" applyFont="1" applyBorder="1" applyAlignment="1" applyProtection="1">
      <alignment/>
      <protection/>
    </xf>
    <xf numFmtId="182" fontId="5" fillId="0" borderId="34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 wrapText="1" indent="2"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3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B3" sqref="A3:IV3"/>
    </sheetView>
  </sheetViews>
  <sheetFormatPr defaultColWidth="9.140625" defaultRowHeight="12.75"/>
  <cols>
    <col min="1" max="1" width="1.57421875" style="3" customWidth="1"/>
    <col min="2" max="2" width="17.8515625" style="3" customWidth="1"/>
    <col min="3" max="3" width="6.7109375" style="135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7" customFormat="1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31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131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1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132" t="s">
        <v>22</v>
      </c>
      <c r="D9" s="77">
        <v>28109200907</v>
      </c>
      <c r="E9" s="78">
        <v>8365649699</v>
      </c>
      <c r="F9" s="79">
        <f>$D9+$E9</f>
        <v>36474850606</v>
      </c>
      <c r="G9" s="77">
        <v>27361989609</v>
      </c>
      <c r="H9" s="78">
        <v>7926153384</v>
      </c>
      <c r="I9" s="80">
        <f>$G9+$H9</f>
        <v>35288142993</v>
      </c>
      <c r="J9" s="77">
        <v>8180427618</v>
      </c>
      <c r="K9" s="78">
        <v>1279851781</v>
      </c>
      <c r="L9" s="78">
        <f>$J9+$K9</f>
        <v>9460279399</v>
      </c>
      <c r="M9" s="40">
        <f>IF($F9=0,0,$L9/$F9)</f>
        <v>0.2593644454144471</v>
      </c>
      <c r="N9" s="105">
        <v>6911519814</v>
      </c>
      <c r="O9" s="106">
        <v>1804148139</v>
      </c>
      <c r="P9" s="107">
        <f>$N9+$O9</f>
        <v>8715667953</v>
      </c>
      <c r="Q9" s="40">
        <f>IF($F9=0,0,$P9/$F9)</f>
        <v>0.23895006581785147</v>
      </c>
      <c r="R9" s="105">
        <v>7005499118</v>
      </c>
      <c r="S9" s="107">
        <v>1055413885</v>
      </c>
      <c r="T9" s="107">
        <f>$R9+$S9</f>
        <v>8060913003</v>
      </c>
      <c r="U9" s="40">
        <f>IF($I9=0,0,$T9/$I9)</f>
        <v>0.22843120434529576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22097446550</v>
      </c>
      <c r="AA9" s="78">
        <f>$K9+$O9+$S9</f>
        <v>4139413805</v>
      </c>
      <c r="AB9" s="78">
        <f>$Z9+$AA9</f>
        <v>26236860355</v>
      </c>
      <c r="AC9" s="40">
        <f>IF($I9=0,0,$AB9/$I9)</f>
        <v>0.7435035717295899</v>
      </c>
      <c r="AD9" s="77">
        <v>6258587866</v>
      </c>
      <c r="AE9" s="78">
        <v>1353148977</v>
      </c>
      <c r="AF9" s="78">
        <f>$AD9+$AE9</f>
        <v>7611736843</v>
      </c>
      <c r="AG9" s="40">
        <f>IF(32766834865=0,0,23362991628/32766834865)</f>
        <v>0.7130072747110296</v>
      </c>
      <c r="AH9" s="40">
        <f>IF($AF9=0,0,(($T9/$AF9)-1))</f>
        <v>0.059010994371550884</v>
      </c>
      <c r="AI9" s="12">
        <v>32050474281</v>
      </c>
      <c r="AJ9" s="12">
        <v>32766834865</v>
      </c>
      <c r="AK9" s="12">
        <v>23362991628</v>
      </c>
      <c r="AL9" s="12"/>
    </row>
    <row r="10" spans="1:38" s="13" customFormat="1" ht="12.75">
      <c r="A10" s="29"/>
      <c r="B10" s="38" t="s">
        <v>23</v>
      </c>
      <c r="C10" s="132" t="s">
        <v>24</v>
      </c>
      <c r="D10" s="77">
        <v>16641150342</v>
      </c>
      <c r="E10" s="78">
        <v>3475606864</v>
      </c>
      <c r="F10" s="80">
        <f aca="true" t="shared" si="0" ref="F10:F18">$D10+$E10</f>
        <v>20116757206</v>
      </c>
      <c r="G10" s="77">
        <v>15662550700</v>
      </c>
      <c r="H10" s="78">
        <v>3221649574</v>
      </c>
      <c r="I10" s="80">
        <f aca="true" t="shared" si="1" ref="I10:I18">$G10+$H10</f>
        <v>18884200274</v>
      </c>
      <c r="J10" s="77">
        <v>4458160778</v>
      </c>
      <c r="K10" s="78">
        <v>424383904</v>
      </c>
      <c r="L10" s="78">
        <f aca="true" t="shared" si="2" ref="L10:L18">$J10+$K10</f>
        <v>4882544682</v>
      </c>
      <c r="M10" s="40">
        <f aca="true" t="shared" si="3" ref="M10:M18">IF($F10=0,0,$L10/$F10)</f>
        <v>0.24271032512853205</v>
      </c>
      <c r="N10" s="105">
        <v>3350988116</v>
      </c>
      <c r="O10" s="106">
        <v>746424739</v>
      </c>
      <c r="P10" s="107">
        <f aca="true" t="shared" si="4" ref="P10:P18">$N10+$O10</f>
        <v>4097412855</v>
      </c>
      <c r="Q10" s="40">
        <f aca="true" t="shared" si="5" ref="Q10:Q18">IF($F10=0,0,$P10/$F10)</f>
        <v>0.20368157815107052</v>
      </c>
      <c r="R10" s="105">
        <v>3472867091</v>
      </c>
      <c r="S10" s="107">
        <v>634043431</v>
      </c>
      <c r="T10" s="107">
        <f aca="true" t="shared" si="6" ref="T10:T18">$R10+$S10</f>
        <v>4106910522</v>
      </c>
      <c r="U10" s="40">
        <f aca="true" t="shared" si="7" ref="U10:U18">IF($I10=0,0,$T10/$I10)</f>
        <v>0.21747865741788627</v>
      </c>
      <c r="V10" s="105">
        <v>0</v>
      </c>
      <c r="W10" s="107">
        <v>0</v>
      </c>
      <c r="X10" s="107">
        <f aca="true" t="shared" si="8" ref="X10:X18">$V10+$W10</f>
        <v>0</v>
      </c>
      <c r="Y10" s="40">
        <f aca="true" t="shared" si="9" ref="Y10:Y18">IF($I10=0,0,$X10/$I10)</f>
        <v>0</v>
      </c>
      <c r="Z10" s="77">
        <f aca="true" t="shared" si="10" ref="Z10:Z18">$J10+$N10+$R10</f>
        <v>11282015985</v>
      </c>
      <c r="AA10" s="78">
        <f aca="true" t="shared" si="11" ref="AA10:AA18">$K10+$O10+$S10</f>
        <v>1804852074</v>
      </c>
      <c r="AB10" s="78">
        <f aca="true" t="shared" si="12" ref="AB10:AB18">$Z10+$AA10</f>
        <v>13086868059</v>
      </c>
      <c r="AC10" s="40">
        <f aca="true" t="shared" si="13" ref="AC10:AC18">IF($I10=0,0,$AB10/$I10)</f>
        <v>0.6930062099064985</v>
      </c>
      <c r="AD10" s="77">
        <v>2985107546</v>
      </c>
      <c r="AE10" s="78">
        <v>509412639</v>
      </c>
      <c r="AF10" s="78">
        <f aca="true" t="shared" si="14" ref="AF10:AF18">$AD10+$AE10</f>
        <v>3494520185</v>
      </c>
      <c r="AG10" s="40">
        <f>IF(17418677841=0,0,11714311342/17418677841)</f>
        <v>0.672514380765853</v>
      </c>
      <c r="AH10" s="40">
        <f aca="true" t="shared" si="15" ref="AH10:AH18">IF($AF10=0,0,(($T10/$AF10)-1))</f>
        <v>0.17524303898104399</v>
      </c>
      <c r="AI10" s="12">
        <v>17819838767</v>
      </c>
      <c r="AJ10" s="12">
        <v>17418677841</v>
      </c>
      <c r="AK10" s="12">
        <v>11714311342</v>
      </c>
      <c r="AL10" s="12"/>
    </row>
    <row r="11" spans="1:38" s="13" customFormat="1" ht="12.75">
      <c r="A11" s="29"/>
      <c r="B11" s="38" t="s">
        <v>25</v>
      </c>
      <c r="C11" s="132" t="s">
        <v>26</v>
      </c>
      <c r="D11" s="77">
        <v>111871460798</v>
      </c>
      <c r="E11" s="78">
        <v>19471356372</v>
      </c>
      <c r="F11" s="80">
        <f t="shared" si="0"/>
        <v>131342817170</v>
      </c>
      <c r="G11" s="77">
        <v>112780679204</v>
      </c>
      <c r="H11" s="78">
        <v>19244069538</v>
      </c>
      <c r="I11" s="80">
        <f t="shared" si="1"/>
        <v>132024748742</v>
      </c>
      <c r="J11" s="77">
        <v>29866323004</v>
      </c>
      <c r="K11" s="78">
        <v>1755904816</v>
      </c>
      <c r="L11" s="78">
        <f t="shared" si="2"/>
        <v>31622227820</v>
      </c>
      <c r="M11" s="40">
        <f t="shared" si="3"/>
        <v>0.24076099859401243</v>
      </c>
      <c r="N11" s="105">
        <v>27217902478</v>
      </c>
      <c r="O11" s="106">
        <v>4016448743</v>
      </c>
      <c r="P11" s="107">
        <f t="shared" si="4"/>
        <v>31234351221</v>
      </c>
      <c r="Q11" s="40">
        <f t="shared" si="5"/>
        <v>0.2378078367283128</v>
      </c>
      <c r="R11" s="105">
        <v>26378192752</v>
      </c>
      <c r="S11" s="107">
        <v>2800297269</v>
      </c>
      <c r="T11" s="107">
        <f t="shared" si="6"/>
        <v>29178490021</v>
      </c>
      <c r="U11" s="40">
        <f t="shared" si="7"/>
        <v>0.22100772998265647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83462418234</v>
      </c>
      <c r="AA11" s="78">
        <f t="shared" si="11"/>
        <v>8572650828</v>
      </c>
      <c r="AB11" s="78">
        <f t="shared" si="12"/>
        <v>92035069062</v>
      </c>
      <c r="AC11" s="40">
        <f t="shared" si="13"/>
        <v>0.697104671199587</v>
      </c>
      <c r="AD11" s="77">
        <v>25908357652</v>
      </c>
      <c r="AE11" s="78">
        <v>3213956700</v>
      </c>
      <c r="AF11" s="78">
        <f t="shared" si="14"/>
        <v>29122314352</v>
      </c>
      <c r="AG11" s="40">
        <f>IF(124296396949=0,0,85527725788/124296396949)</f>
        <v>0.6880949720778539</v>
      </c>
      <c r="AH11" s="40">
        <f t="shared" si="15"/>
        <v>0.0019289562059185972</v>
      </c>
      <c r="AI11" s="12">
        <v>121633623334</v>
      </c>
      <c r="AJ11" s="12">
        <v>124296396949</v>
      </c>
      <c r="AK11" s="12">
        <v>85527725788</v>
      </c>
      <c r="AL11" s="12"/>
    </row>
    <row r="12" spans="1:38" s="13" customFormat="1" ht="12.75">
      <c r="A12" s="29"/>
      <c r="B12" s="38" t="s">
        <v>27</v>
      </c>
      <c r="C12" s="132" t="s">
        <v>28</v>
      </c>
      <c r="D12" s="77">
        <v>51999081114</v>
      </c>
      <c r="E12" s="78">
        <v>13943250451</v>
      </c>
      <c r="F12" s="80">
        <f t="shared" si="0"/>
        <v>65942331565</v>
      </c>
      <c r="G12" s="77">
        <v>52080466144</v>
      </c>
      <c r="H12" s="78">
        <v>14135070322</v>
      </c>
      <c r="I12" s="80">
        <f t="shared" si="1"/>
        <v>66215536466</v>
      </c>
      <c r="J12" s="77">
        <v>14783183896</v>
      </c>
      <c r="K12" s="78">
        <v>2037436939</v>
      </c>
      <c r="L12" s="78">
        <f t="shared" si="2"/>
        <v>16820620835</v>
      </c>
      <c r="M12" s="40">
        <f t="shared" si="3"/>
        <v>0.25508077187746614</v>
      </c>
      <c r="N12" s="105">
        <v>13246943958</v>
      </c>
      <c r="O12" s="106">
        <v>2931071638</v>
      </c>
      <c r="P12" s="107">
        <f t="shared" si="4"/>
        <v>16178015596</v>
      </c>
      <c r="Q12" s="40">
        <f t="shared" si="5"/>
        <v>0.24533581406737448</v>
      </c>
      <c r="R12" s="105">
        <v>10940589152</v>
      </c>
      <c r="S12" s="107">
        <v>2450821248</v>
      </c>
      <c r="T12" s="107">
        <f t="shared" si="6"/>
        <v>13391410400</v>
      </c>
      <c r="U12" s="40">
        <f t="shared" si="7"/>
        <v>0.202239702564007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38970717006</v>
      </c>
      <c r="AA12" s="78">
        <f t="shared" si="11"/>
        <v>7419329825</v>
      </c>
      <c r="AB12" s="78">
        <f t="shared" si="12"/>
        <v>46390046831</v>
      </c>
      <c r="AC12" s="40">
        <f t="shared" si="13"/>
        <v>0.7005915727167764</v>
      </c>
      <c r="AD12" s="77">
        <v>12026342129</v>
      </c>
      <c r="AE12" s="78">
        <v>2463122474</v>
      </c>
      <c r="AF12" s="78">
        <f t="shared" si="14"/>
        <v>14489464603</v>
      </c>
      <c r="AG12" s="40">
        <f>IF(60140544881=0,0,45190030063/60140544881)</f>
        <v>0.7514070607843252</v>
      </c>
      <c r="AH12" s="40">
        <f t="shared" si="15"/>
        <v>-0.0757829383683819</v>
      </c>
      <c r="AI12" s="12">
        <v>59405816494</v>
      </c>
      <c r="AJ12" s="12">
        <v>60140544881</v>
      </c>
      <c r="AK12" s="12">
        <v>45190030063</v>
      </c>
      <c r="AL12" s="12"/>
    </row>
    <row r="13" spans="1:38" s="13" customFormat="1" ht="12.75">
      <c r="A13" s="29"/>
      <c r="B13" s="38" t="s">
        <v>29</v>
      </c>
      <c r="C13" s="132" t="s">
        <v>30</v>
      </c>
      <c r="D13" s="77">
        <v>14104703710</v>
      </c>
      <c r="E13" s="78">
        <v>5713799722</v>
      </c>
      <c r="F13" s="80">
        <f t="shared" si="0"/>
        <v>19818503432</v>
      </c>
      <c r="G13" s="77">
        <v>12772923973</v>
      </c>
      <c r="H13" s="78">
        <v>6316822319</v>
      </c>
      <c r="I13" s="80">
        <f t="shared" si="1"/>
        <v>19089746292</v>
      </c>
      <c r="J13" s="77">
        <v>4426452191</v>
      </c>
      <c r="K13" s="78">
        <v>595080924</v>
      </c>
      <c r="L13" s="78">
        <f t="shared" si="2"/>
        <v>5021533115</v>
      </c>
      <c r="M13" s="40">
        <f t="shared" si="3"/>
        <v>0.2533759994658309</v>
      </c>
      <c r="N13" s="105">
        <v>3160319257</v>
      </c>
      <c r="O13" s="106">
        <v>1022291238</v>
      </c>
      <c r="P13" s="107">
        <f t="shared" si="4"/>
        <v>4182610495</v>
      </c>
      <c r="Q13" s="40">
        <f t="shared" si="5"/>
        <v>0.21104572852087997</v>
      </c>
      <c r="R13" s="105">
        <v>2978577860</v>
      </c>
      <c r="S13" s="107">
        <v>863028038</v>
      </c>
      <c r="T13" s="107">
        <f t="shared" si="6"/>
        <v>3841605898</v>
      </c>
      <c r="U13" s="40">
        <f t="shared" si="7"/>
        <v>0.20123923279220918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10565349308</v>
      </c>
      <c r="AA13" s="78">
        <f t="shared" si="11"/>
        <v>2480400200</v>
      </c>
      <c r="AB13" s="78">
        <f t="shared" si="12"/>
        <v>13045749508</v>
      </c>
      <c r="AC13" s="40">
        <f t="shared" si="13"/>
        <v>0.6833904080468122</v>
      </c>
      <c r="AD13" s="77">
        <v>2927705817</v>
      </c>
      <c r="AE13" s="78">
        <v>715932376</v>
      </c>
      <c r="AF13" s="78">
        <f t="shared" si="14"/>
        <v>3643638193</v>
      </c>
      <c r="AG13" s="40">
        <f>IF(18328705316=0,0,11103110975/18328705316)</f>
        <v>0.6057771557551076</v>
      </c>
      <c r="AH13" s="40">
        <f t="shared" si="15"/>
        <v>0.05433242668833782</v>
      </c>
      <c r="AI13" s="12">
        <v>18170158140</v>
      </c>
      <c r="AJ13" s="12">
        <v>18328705316</v>
      </c>
      <c r="AK13" s="12">
        <v>11103110975</v>
      </c>
      <c r="AL13" s="12"/>
    </row>
    <row r="14" spans="1:38" s="13" customFormat="1" ht="12.75">
      <c r="A14" s="29"/>
      <c r="B14" s="38" t="s">
        <v>31</v>
      </c>
      <c r="C14" s="132" t="s">
        <v>32</v>
      </c>
      <c r="D14" s="77">
        <v>14790000355</v>
      </c>
      <c r="E14" s="78">
        <v>3054630947</v>
      </c>
      <c r="F14" s="80">
        <f t="shared" si="0"/>
        <v>17844631302</v>
      </c>
      <c r="G14" s="77">
        <v>14764913114</v>
      </c>
      <c r="H14" s="78">
        <v>3559402898</v>
      </c>
      <c r="I14" s="80">
        <f t="shared" si="1"/>
        <v>18324316012</v>
      </c>
      <c r="J14" s="77">
        <v>4529801273</v>
      </c>
      <c r="K14" s="78">
        <v>387708390</v>
      </c>
      <c r="L14" s="78">
        <f t="shared" si="2"/>
        <v>4917509663</v>
      </c>
      <c r="M14" s="40">
        <f t="shared" si="3"/>
        <v>0.2755736209830714</v>
      </c>
      <c r="N14" s="105">
        <v>3823481125</v>
      </c>
      <c r="O14" s="106">
        <v>647082531</v>
      </c>
      <c r="P14" s="107">
        <f t="shared" si="4"/>
        <v>4470563656</v>
      </c>
      <c r="Q14" s="40">
        <f t="shared" si="5"/>
        <v>0.2505270958161487</v>
      </c>
      <c r="R14" s="105">
        <v>3710731107</v>
      </c>
      <c r="S14" s="107">
        <v>580655457</v>
      </c>
      <c r="T14" s="107">
        <f t="shared" si="6"/>
        <v>4291386564</v>
      </c>
      <c r="U14" s="40">
        <f t="shared" si="7"/>
        <v>0.2341908184288958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12064013505</v>
      </c>
      <c r="AA14" s="78">
        <f t="shared" si="11"/>
        <v>1615446378</v>
      </c>
      <c r="AB14" s="78">
        <f t="shared" si="12"/>
        <v>13679459883</v>
      </c>
      <c r="AC14" s="40">
        <f t="shared" si="13"/>
        <v>0.7465195357928648</v>
      </c>
      <c r="AD14" s="77">
        <v>2453625758</v>
      </c>
      <c r="AE14" s="78">
        <v>472989026</v>
      </c>
      <c r="AF14" s="78">
        <f t="shared" si="14"/>
        <v>2926614784</v>
      </c>
      <c r="AG14" s="40">
        <f>IF(15952104092=0,0,11005187666/15952104092)</f>
        <v>0.6898894091042896</v>
      </c>
      <c r="AH14" s="40">
        <f t="shared" si="15"/>
        <v>0.4663311985784051</v>
      </c>
      <c r="AI14" s="12">
        <v>15363595324</v>
      </c>
      <c r="AJ14" s="12">
        <v>15952104092</v>
      </c>
      <c r="AK14" s="12">
        <v>11005187666</v>
      </c>
      <c r="AL14" s="12"/>
    </row>
    <row r="15" spans="1:38" s="13" customFormat="1" ht="12.75">
      <c r="A15" s="29"/>
      <c r="B15" s="38" t="s">
        <v>33</v>
      </c>
      <c r="C15" s="132" t="s">
        <v>34</v>
      </c>
      <c r="D15" s="77">
        <v>14006607229</v>
      </c>
      <c r="E15" s="78">
        <v>3116767033</v>
      </c>
      <c r="F15" s="80">
        <f t="shared" si="0"/>
        <v>17123374262</v>
      </c>
      <c r="G15" s="77">
        <v>14082779057</v>
      </c>
      <c r="H15" s="78">
        <v>3222234258</v>
      </c>
      <c r="I15" s="80">
        <f t="shared" si="1"/>
        <v>17305013315</v>
      </c>
      <c r="J15" s="77">
        <v>4414017501</v>
      </c>
      <c r="K15" s="78">
        <v>433634871</v>
      </c>
      <c r="L15" s="78">
        <f t="shared" si="2"/>
        <v>4847652372</v>
      </c>
      <c r="M15" s="40">
        <f t="shared" si="3"/>
        <v>0.28310146690876553</v>
      </c>
      <c r="N15" s="105">
        <v>3109050335</v>
      </c>
      <c r="O15" s="106">
        <v>630118998</v>
      </c>
      <c r="P15" s="107">
        <f t="shared" si="4"/>
        <v>3739169333</v>
      </c>
      <c r="Q15" s="40">
        <f t="shared" si="5"/>
        <v>0.21836638479005407</v>
      </c>
      <c r="R15" s="105">
        <v>3435332772</v>
      </c>
      <c r="S15" s="107">
        <v>565653607</v>
      </c>
      <c r="T15" s="107">
        <f t="shared" si="6"/>
        <v>4000986379</v>
      </c>
      <c r="U15" s="40">
        <f t="shared" si="7"/>
        <v>0.23120388907946934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10958400608</v>
      </c>
      <c r="AA15" s="78">
        <f t="shared" si="11"/>
        <v>1629407476</v>
      </c>
      <c r="AB15" s="78">
        <f t="shared" si="12"/>
        <v>12587808084</v>
      </c>
      <c r="AC15" s="40">
        <f t="shared" si="13"/>
        <v>0.7274081709656286</v>
      </c>
      <c r="AD15" s="77">
        <v>2808585163</v>
      </c>
      <c r="AE15" s="78">
        <v>521486854</v>
      </c>
      <c r="AF15" s="78">
        <f t="shared" si="14"/>
        <v>3330072017</v>
      </c>
      <c r="AG15" s="40">
        <f>IF(16455472353=0,0,11108919874/16455472353)</f>
        <v>0.6750896987757833</v>
      </c>
      <c r="AH15" s="40">
        <f t="shared" si="15"/>
        <v>0.2014714272168847</v>
      </c>
      <c r="AI15" s="12">
        <v>16032827022</v>
      </c>
      <c r="AJ15" s="12">
        <v>16455472353</v>
      </c>
      <c r="AK15" s="12">
        <v>11108919874</v>
      </c>
      <c r="AL15" s="12"/>
    </row>
    <row r="16" spans="1:38" s="13" customFormat="1" ht="12.75">
      <c r="A16" s="29"/>
      <c r="B16" s="38" t="s">
        <v>35</v>
      </c>
      <c r="C16" s="132" t="s">
        <v>36</v>
      </c>
      <c r="D16" s="77">
        <v>6318648461</v>
      </c>
      <c r="E16" s="78">
        <v>1288637872</v>
      </c>
      <c r="F16" s="80">
        <f t="shared" si="0"/>
        <v>7607286333</v>
      </c>
      <c r="G16" s="77">
        <v>6191197853</v>
      </c>
      <c r="H16" s="78">
        <v>1112146468</v>
      </c>
      <c r="I16" s="80">
        <f t="shared" si="1"/>
        <v>7303344321</v>
      </c>
      <c r="J16" s="77">
        <v>2122480810</v>
      </c>
      <c r="K16" s="78">
        <v>132884950</v>
      </c>
      <c r="L16" s="78">
        <f t="shared" si="2"/>
        <v>2255365760</v>
      </c>
      <c r="M16" s="40">
        <f t="shared" si="3"/>
        <v>0.29647441430150256</v>
      </c>
      <c r="N16" s="105">
        <v>1254665596</v>
      </c>
      <c r="O16" s="106">
        <v>237186025</v>
      </c>
      <c r="P16" s="107">
        <f t="shared" si="4"/>
        <v>1491851621</v>
      </c>
      <c r="Q16" s="40">
        <f t="shared" si="5"/>
        <v>0.1961082514442013</v>
      </c>
      <c r="R16" s="105">
        <v>1262571014</v>
      </c>
      <c r="S16" s="107">
        <v>187035074</v>
      </c>
      <c r="T16" s="107">
        <f t="shared" si="6"/>
        <v>1449606088</v>
      </c>
      <c r="U16" s="40">
        <f t="shared" si="7"/>
        <v>0.19848524515430688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4639717420</v>
      </c>
      <c r="AA16" s="78">
        <f t="shared" si="11"/>
        <v>557106049</v>
      </c>
      <c r="AB16" s="78">
        <f t="shared" si="12"/>
        <v>5196823469</v>
      </c>
      <c r="AC16" s="40">
        <f t="shared" si="13"/>
        <v>0.7115676381376514</v>
      </c>
      <c r="AD16" s="77">
        <v>1238877667</v>
      </c>
      <c r="AE16" s="78">
        <v>161980817</v>
      </c>
      <c r="AF16" s="78">
        <f t="shared" si="14"/>
        <v>1400858484</v>
      </c>
      <c r="AG16" s="40">
        <f>IF(6916309118=0,0,5062808974/6916309118)</f>
        <v>0.7320102221608077</v>
      </c>
      <c r="AH16" s="40">
        <f t="shared" si="15"/>
        <v>0.03479837867762803</v>
      </c>
      <c r="AI16" s="12">
        <v>7080819151</v>
      </c>
      <c r="AJ16" s="12">
        <v>6916309118</v>
      </c>
      <c r="AK16" s="12">
        <v>5062808974</v>
      </c>
      <c r="AL16" s="12"/>
    </row>
    <row r="17" spans="1:38" s="13" customFormat="1" ht="12.75">
      <c r="A17" s="29"/>
      <c r="B17" s="41" t="s">
        <v>37</v>
      </c>
      <c r="C17" s="132" t="s">
        <v>38</v>
      </c>
      <c r="D17" s="77">
        <v>46413208361</v>
      </c>
      <c r="E17" s="78">
        <v>8442519561</v>
      </c>
      <c r="F17" s="80">
        <f t="shared" si="0"/>
        <v>54855727922</v>
      </c>
      <c r="G17" s="77">
        <v>47740448240</v>
      </c>
      <c r="H17" s="78">
        <v>9038903495</v>
      </c>
      <c r="I17" s="80">
        <f t="shared" si="1"/>
        <v>56779351735</v>
      </c>
      <c r="J17" s="77">
        <v>12658900195</v>
      </c>
      <c r="K17" s="78">
        <v>1020337118</v>
      </c>
      <c r="L17" s="78">
        <f t="shared" si="2"/>
        <v>13679237313</v>
      </c>
      <c r="M17" s="40">
        <f t="shared" si="3"/>
        <v>0.24936752881031252</v>
      </c>
      <c r="N17" s="105">
        <v>11615139819</v>
      </c>
      <c r="O17" s="106">
        <v>1636085439</v>
      </c>
      <c r="P17" s="107">
        <f t="shared" si="4"/>
        <v>13251225258</v>
      </c>
      <c r="Q17" s="40">
        <f t="shared" si="5"/>
        <v>0.24156502447368983</v>
      </c>
      <c r="R17" s="105">
        <v>11615926787</v>
      </c>
      <c r="S17" s="107">
        <v>1275560761</v>
      </c>
      <c r="T17" s="107">
        <f t="shared" si="6"/>
        <v>12891487548</v>
      </c>
      <c r="U17" s="40">
        <f t="shared" si="7"/>
        <v>0.22704534578286517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35889966801</v>
      </c>
      <c r="AA17" s="78">
        <f t="shared" si="11"/>
        <v>3931983318</v>
      </c>
      <c r="AB17" s="78">
        <f t="shared" si="12"/>
        <v>39821950119</v>
      </c>
      <c r="AC17" s="40">
        <f t="shared" si="13"/>
        <v>0.7013456283343387</v>
      </c>
      <c r="AD17" s="77">
        <v>11088801480</v>
      </c>
      <c r="AE17" s="78">
        <v>1082245500</v>
      </c>
      <c r="AF17" s="78">
        <f t="shared" si="14"/>
        <v>12171046980</v>
      </c>
      <c r="AG17" s="40">
        <f>IF(51033817907=0,0,36167119851/51033817907)</f>
        <v>0.7086892835826648</v>
      </c>
      <c r="AH17" s="40">
        <f t="shared" si="15"/>
        <v>0.05919298226223746</v>
      </c>
      <c r="AI17" s="12">
        <v>49580121737</v>
      </c>
      <c r="AJ17" s="12">
        <v>51033817907</v>
      </c>
      <c r="AK17" s="12">
        <v>36167119851</v>
      </c>
      <c r="AL17" s="12"/>
    </row>
    <row r="18" spans="1:38" s="13" customFormat="1" ht="12.75">
      <c r="A18" s="42"/>
      <c r="B18" s="43" t="s">
        <v>653</v>
      </c>
      <c r="C18" s="133"/>
      <c r="D18" s="81">
        <f>SUM(D9:D17)</f>
        <v>304254061277</v>
      </c>
      <c r="E18" s="82">
        <f>SUM(E9:E17)</f>
        <v>66872218521</v>
      </c>
      <c r="F18" s="83">
        <f t="shared" si="0"/>
        <v>371126279798</v>
      </c>
      <c r="G18" s="81">
        <f>SUM(G9:G17)</f>
        <v>303437947894</v>
      </c>
      <c r="H18" s="82">
        <f>SUM(H9:H17)</f>
        <v>67776452256</v>
      </c>
      <c r="I18" s="83">
        <f t="shared" si="1"/>
        <v>371214400150</v>
      </c>
      <c r="J18" s="81">
        <f>SUM(J9:J17)</f>
        <v>85439747266</v>
      </c>
      <c r="K18" s="82">
        <f>SUM(K9:K17)</f>
        <v>8067223693</v>
      </c>
      <c r="L18" s="82">
        <f t="shared" si="2"/>
        <v>93506970959</v>
      </c>
      <c r="M18" s="44">
        <f t="shared" si="3"/>
        <v>0.25195459348741034</v>
      </c>
      <c r="N18" s="108">
        <f>SUM(N9:N17)</f>
        <v>73690010498</v>
      </c>
      <c r="O18" s="109">
        <f>SUM(O9:O17)</f>
        <v>13670857490</v>
      </c>
      <c r="P18" s="110">
        <f t="shared" si="4"/>
        <v>87360867988</v>
      </c>
      <c r="Q18" s="44">
        <f t="shared" si="5"/>
        <v>0.2353939150726528</v>
      </c>
      <c r="R18" s="108">
        <f>SUM(R9:R17)</f>
        <v>70800287653</v>
      </c>
      <c r="S18" s="110">
        <f>SUM(S9:S17)</f>
        <v>10412508770</v>
      </c>
      <c r="T18" s="110">
        <f t="shared" si="6"/>
        <v>81212796423</v>
      </c>
      <c r="U18" s="44">
        <f t="shared" si="7"/>
        <v>0.21877598603444157</v>
      </c>
      <c r="V18" s="108">
        <f>SUM(V9:V17)</f>
        <v>0</v>
      </c>
      <c r="W18" s="110">
        <f>SUM(W9:W17)</f>
        <v>0</v>
      </c>
      <c r="X18" s="110">
        <f t="shared" si="8"/>
        <v>0</v>
      </c>
      <c r="Y18" s="44">
        <f t="shared" si="9"/>
        <v>0</v>
      </c>
      <c r="Z18" s="81">
        <f t="shared" si="10"/>
        <v>229930045417</v>
      </c>
      <c r="AA18" s="82">
        <f t="shared" si="11"/>
        <v>32150589953</v>
      </c>
      <c r="AB18" s="82">
        <f t="shared" si="12"/>
        <v>262080635370</v>
      </c>
      <c r="AC18" s="44">
        <f t="shared" si="13"/>
        <v>0.7060088058655556</v>
      </c>
      <c r="AD18" s="81">
        <f>SUM(AD9:AD17)</f>
        <v>67695991078</v>
      </c>
      <c r="AE18" s="82">
        <f>SUM(AE9:AE17)</f>
        <v>10494275363</v>
      </c>
      <c r="AF18" s="82">
        <f t="shared" si="14"/>
        <v>78190266441</v>
      </c>
      <c r="AG18" s="44">
        <f>IF(51033817907=0,0,36167119851/51033817907)</f>
        <v>0.7086892835826648</v>
      </c>
      <c r="AH18" s="44">
        <f t="shared" si="15"/>
        <v>0.03865609006820181</v>
      </c>
      <c r="AI18" s="12">
        <f>SUM(AI9:AI17)</f>
        <v>337137274250</v>
      </c>
      <c r="AJ18" s="12">
        <f>SUM(AJ9:AJ17)</f>
        <v>343308863322</v>
      </c>
      <c r="AK18" s="12">
        <f>SUM(AK9:AK17)</f>
        <v>240242206161</v>
      </c>
      <c r="AL18" s="12"/>
    </row>
    <row r="19" spans="1:38" s="13" customFormat="1" ht="12.75" customHeight="1">
      <c r="A19" s="45"/>
      <c r="B19" s="46"/>
      <c r="C19" s="66"/>
      <c r="D19" s="84"/>
      <c r="E19" s="85"/>
      <c r="F19" s="86"/>
      <c r="G19" s="84"/>
      <c r="H19" s="85"/>
      <c r="I19" s="86"/>
      <c r="J19" s="87"/>
      <c r="K19" s="85"/>
      <c r="L19" s="86"/>
      <c r="M19" s="47"/>
      <c r="N19" s="87"/>
      <c r="O19" s="86"/>
      <c r="P19" s="85"/>
      <c r="Q19" s="47"/>
      <c r="R19" s="87"/>
      <c r="S19" s="85"/>
      <c r="T19" s="85"/>
      <c r="U19" s="47"/>
      <c r="V19" s="87"/>
      <c r="W19" s="85"/>
      <c r="X19" s="85"/>
      <c r="Y19" s="47"/>
      <c r="Z19" s="87"/>
      <c r="AA19" s="85"/>
      <c r="AB19" s="86"/>
      <c r="AC19" s="47"/>
      <c r="AD19" s="87"/>
      <c r="AE19" s="85"/>
      <c r="AF19" s="85"/>
      <c r="AG19" s="47"/>
      <c r="AH19" s="47"/>
      <c r="AI19" s="12"/>
      <c r="AJ19" s="12"/>
      <c r="AK19" s="12"/>
      <c r="AL19" s="12"/>
    </row>
    <row r="20" spans="1:38" s="13" customFormat="1" ht="12.75">
      <c r="A20" s="12"/>
      <c r="B20" s="48"/>
      <c r="C20" s="134"/>
      <c r="D20" s="88"/>
      <c r="E20" s="88"/>
      <c r="F20" s="88"/>
      <c r="G20" s="88"/>
      <c r="H20" s="88"/>
      <c r="I20" s="88"/>
      <c r="J20" s="88"/>
      <c r="K20" s="88"/>
      <c r="L20" s="88"/>
      <c r="M20" s="12"/>
      <c r="N20" s="88"/>
      <c r="O20" s="88"/>
      <c r="P20" s="88"/>
      <c r="Q20" s="12"/>
      <c r="R20" s="88"/>
      <c r="S20" s="88"/>
      <c r="T20" s="88"/>
      <c r="U20" s="12"/>
      <c r="V20" s="88"/>
      <c r="W20" s="88"/>
      <c r="X20" s="88"/>
      <c r="Y20" s="12"/>
      <c r="Z20" s="88"/>
      <c r="AA20" s="88"/>
      <c r="AB20" s="88"/>
      <c r="AC20" s="12"/>
      <c r="AD20" s="88"/>
      <c r="AE20" s="88"/>
      <c r="AF20" s="88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30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30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30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30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30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30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30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30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30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30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30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0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0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0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0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0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0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0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0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0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0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0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0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0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0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0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0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0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0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0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0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0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0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0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0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0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0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0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0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0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0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0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0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0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0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0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0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0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0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0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0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0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0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0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0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0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0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0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0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0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0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0" t="s">
        <v>484</v>
      </c>
      <c r="C9" s="39" t="s">
        <v>485</v>
      </c>
      <c r="D9" s="77">
        <v>174368860</v>
      </c>
      <c r="E9" s="78">
        <v>126383383</v>
      </c>
      <c r="F9" s="79">
        <f>$D9+$E9</f>
        <v>300752243</v>
      </c>
      <c r="G9" s="77">
        <v>174368860</v>
      </c>
      <c r="H9" s="78">
        <v>126383383</v>
      </c>
      <c r="I9" s="80">
        <f>$G9+$H9</f>
        <v>300752243</v>
      </c>
      <c r="J9" s="77">
        <v>82384211</v>
      </c>
      <c r="K9" s="78">
        <v>22073445</v>
      </c>
      <c r="L9" s="78">
        <f>$J9+$K9</f>
        <v>104457656</v>
      </c>
      <c r="M9" s="40">
        <f>IF($F9=0,0,$L9/$F9)</f>
        <v>0.34732128664456874</v>
      </c>
      <c r="N9" s="105">
        <v>64529575</v>
      </c>
      <c r="O9" s="106">
        <v>50000261</v>
      </c>
      <c r="P9" s="107">
        <f>$N9+$O9</f>
        <v>114529836</v>
      </c>
      <c r="Q9" s="40">
        <f>IF($F9=0,0,$P9/$F9)</f>
        <v>0.3808112446895367</v>
      </c>
      <c r="R9" s="105">
        <v>61999481</v>
      </c>
      <c r="S9" s="107">
        <v>26874521</v>
      </c>
      <c r="T9" s="107">
        <f>$R9+$S9</f>
        <v>88874002</v>
      </c>
      <c r="U9" s="40">
        <f>IF($I9=0,0,$T9/$I9)</f>
        <v>0.2955056996865024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208913267</v>
      </c>
      <c r="AA9" s="78">
        <f>$K9+$O9+$S9</f>
        <v>98948227</v>
      </c>
      <c r="AB9" s="78">
        <f>$Z9+$AA9</f>
        <v>307861494</v>
      </c>
      <c r="AC9" s="40">
        <f>IF($I9=0,0,$AB9/$I9)</f>
        <v>1.0236382310206078</v>
      </c>
      <c r="AD9" s="77">
        <v>52089489</v>
      </c>
      <c r="AE9" s="78">
        <v>26970842</v>
      </c>
      <c r="AF9" s="78">
        <f>$AD9+$AE9</f>
        <v>79060331</v>
      </c>
      <c r="AG9" s="40">
        <f>IF(275358388=0,0,242622306/275358388)</f>
        <v>0.881114636682141</v>
      </c>
      <c r="AH9" s="40">
        <f>IF($AF9=0,0,(($T9/$AF9)-1))</f>
        <v>0.12412888835489455</v>
      </c>
      <c r="AI9" s="12">
        <v>271258880</v>
      </c>
      <c r="AJ9" s="12">
        <v>275358388</v>
      </c>
      <c r="AK9" s="12">
        <v>242622306</v>
      </c>
      <c r="AL9" s="12"/>
    </row>
    <row r="10" spans="1:38" s="13" customFormat="1" ht="12.75">
      <c r="A10" s="29" t="s">
        <v>96</v>
      </c>
      <c r="B10" s="60" t="s">
        <v>486</v>
      </c>
      <c r="C10" s="39" t="s">
        <v>487</v>
      </c>
      <c r="D10" s="77">
        <v>323079997</v>
      </c>
      <c r="E10" s="78">
        <v>140031000</v>
      </c>
      <c r="F10" s="80">
        <f aca="true" t="shared" si="0" ref="F10:F46">$D10+$E10</f>
        <v>463110997</v>
      </c>
      <c r="G10" s="77">
        <v>324067496</v>
      </c>
      <c r="H10" s="78">
        <v>137926001</v>
      </c>
      <c r="I10" s="80">
        <f aca="true" t="shared" si="1" ref="I10:I46">$G10+$H10</f>
        <v>461993497</v>
      </c>
      <c r="J10" s="77">
        <v>105078832</v>
      </c>
      <c r="K10" s="78">
        <v>25835156</v>
      </c>
      <c r="L10" s="78">
        <f aca="true" t="shared" si="2" ref="L10:L46">$J10+$K10</f>
        <v>130913988</v>
      </c>
      <c r="M10" s="40">
        <f aca="true" t="shared" si="3" ref="M10:M46">IF($F10=0,0,$L10/$F10)</f>
        <v>0.28268382493193095</v>
      </c>
      <c r="N10" s="105">
        <v>68778717</v>
      </c>
      <c r="O10" s="106">
        <v>38690497</v>
      </c>
      <c r="P10" s="107">
        <f aca="true" t="shared" si="4" ref="P10:P46">$N10+$O10</f>
        <v>107469214</v>
      </c>
      <c r="Q10" s="40">
        <f aca="true" t="shared" si="5" ref="Q10:Q46">IF($F10=0,0,$P10/$F10)</f>
        <v>0.2320593004618286</v>
      </c>
      <c r="R10" s="105">
        <v>67733770</v>
      </c>
      <c r="S10" s="107">
        <v>32972600</v>
      </c>
      <c r="T10" s="107">
        <f aca="true" t="shared" si="6" ref="T10:T46">$R10+$S10</f>
        <v>100706370</v>
      </c>
      <c r="U10" s="40">
        <f aca="true" t="shared" si="7" ref="U10:U46">IF($I10=0,0,$T10/$I10)</f>
        <v>0.21798222410909823</v>
      </c>
      <c r="V10" s="105">
        <v>0</v>
      </c>
      <c r="W10" s="107">
        <v>0</v>
      </c>
      <c r="X10" s="107">
        <f aca="true" t="shared" si="8" ref="X10:X46">$V10+$W10</f>
        <v>0</v>
      </c>
      <c r="Y10" s="40">
        <f aca="true" t="shared" si="9" ref="Y10:Y46">IF($I10=0,0,$X10/$I10)</f>
        <v>0</v>
      </c>
      <c r="Z10" s="77">
        <f aca="true" t="shared" si="10" ref="Z10:Z46">$J10+$N10+$R10</f>
        <v>241591319</v>
      </c>
      <c r="AA10" s="78">
        <f aca="true" t="shared" si="11" ref="AA10:AA46">$K10+$O10+$S10</f>
        <v>97498253</v>
      </c>
      <c r="AB10" s="78">
        <f aca="true" t="shared" si="12" ref="AB10:AB46">$Z10+$AA10</f>
        <v>339089572</v>
      </c>
      <c r="AC10" s="40">
        <f aca="true" t="shared" si="13" ref="AC10:AC46">IF($I10=0,0,$AB10/$I10)</f>
        <v>0.7339704437441464</v>
      </c>
      <c r="AD10" s="77">
        <v>58657600</v>
      </c>
      <c r="AE10" s="78">
        <v>8893446</v>
      </c>
      <c r="AF10" s="78">
        <f aca="true" t="shared" si="14" ref="AF10:AF46">$AD10+$AE10</f>
        <v>67551046</v>
      </c>
      <c r="AG10" s="40">
        <f>IF(427253490=0,0,270250156/427253490)</f>
        <v>0.6325288437082164</v>
      </c>
      <c r="AH10" s="40">
        <f aca="true" t="shared" si="15" ref="AH10:AH46">IF($AF10=0,0,(($T10/$AF10)-1))</f>
        <v>0.49081880982272286</v>
      </c>
      <c r="AI10" s="12">
        <v>431850734</v>
      </c>
      <c r="AJ10" s="12">
        <v>427253490</v>
      </c>
      <c r="AK10" s="12">
        <v>270250156</v>
      </c>
      <c r="AL10" s="12"/>
    </row>
    <row r="11" spans="1:38" s="13" customFormat="1" ht="12.75">
      <c r="A11" s="29" t="s">
        <v>96</v>
      </c>
      <c r="B11" s="60" t="s">
        <v>488</v>
      </c>
      <c r="C11" s="39" t="s">
        <v>489</v>
      </c>
      <c r="D11" s="77">
        <v>671140703</v>
      </c>
      <c r="E11" s="78">
        <v>350160555</v>
      </c>
      <c r="F11" s="79">
        <f t="shared" si="0"/>
        <v>1021301258</v>
      </c>
      <c r="G11" s="77">
        <v>549965663</v>
      </c>
      <c r="H11" s="78">
        <v>104340600</v>
      </c>
      <c r="I11" s="80">
        <f t="shared" si="1"/>
        <v>654306263</v>
      </c>
      <c r="J11" s="77">
        <v>262857885</v>
      </c>
      <c r="K11" s="78">
        <v>11118759</v>
      </c>
      <c r="L11" s="78">
        <f t="shared" si="2"/>
        <v>273976644</v>
      </c>
      <c r="M11" s="40">
        <f t="shared" si="3"/>
        <v>0.26826231912856413</v>
      </c>
      <c r="N11" s="105">
        <v>62255759</v>
      </c>
      <c r="O11" s="106">
        <v>3738523</v>
      </c>
      <c r="P11" s="107">
        <f t="shared" si="4"/>
        <v>65994282</v>
      </c>
      <c r="Q11" s="40">
        <f t="shared" si="5"/>
        <v>0.06461784070376618</v>
      </c>
      <c r="R11" s="105">
        <v>69178165</v>
      </c>
      <c r="S11" s="107">
        <v>0</v>
      </c>
      <c r="T11" s="107">
        <f t="shared" si="6"/>
        <v>69178165</v>
      </c>
      <c r="U11" s="40">
        <f t="shared" si="7"/>
        <v>0.10572749935606225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394291809</v>
      </c>
      <c r="AA11" s="78">
        <f t="shared" si="11"/>
        <v>14857282</v>
      </c>
      <c r="AB11" s="78">
        <f t="shared" si="12"/>
        <v>409149091</v>
      </c>
      <c r="AC11" s="40">
        <f t="shared" si="13"/>
        <v>0.6253173997205037</v>
      </c>
      <c r="AD11" s="77">
        <v>179257727</v>
      </c>
      <c r="AE11" s="78">
        <v>9527020</v>
      </c>
      <c r="AF11" s="78">
        <f t="shared" si="14"/>
        <v>188784747</v>
      </c>
      <c r="AG11" s="40">
        <f>IF(651767043=0,0,642374548/651767043)</f>
        <v>0.985589183894958</v>
      </c>
      <c r="AH11" s="40">
        <f t="shared" si="15"/>
        <v>-0.6335606234120175</v>
      </c>
      <c r="AI11" s="12">
        <v>987060765</v>
      </c>
      <c r="AJ11" s="12">
        <v>651767043</v>
      </c>
      <c r="AK11" s="12">
        <v>642374548</v>
      </c>
      <c r="AL11" s="12"/>
    </row>
    <row r="12" spans="1:38" s="13" customFormat="1" ht="12.75">
      <c r="A12" s="29" t="s">
        <v>115</v>
      </c>
      <c r="B12" s="60" t="s">
        <v>490</v>
      </c>
      <c r="C12" s="39" t="s">
        <v>491</v>
      </c>
      <c r="D12" s="77">
        <v>81926579</v>
      </c>
      <c r="E12" s="78">
        <v>1204000</v>
      </c>
      <c r="F12" s="79">
        <f t="shared" si="0"/>
        <v>83130579</v>
      </c>
      <c r="G12" s="77">
        <v>79251009</v>
      </c>
      <c r="H12" s="78">
        <v>33000</v>
      </c>
      <c r="I12" s="80">
        <f t="shared" si="1"/>
        <v>79284009</v>
      </c>
      <c r="J12" s="77">
        <v>28771838</v>
      </c>
      <c r="K12" s="78">
        <v>5116</v>
      </c>
      <c r="L12" s="78">
        <f t="shared" si="2"/>
        <v>28776954</v>
      </c>
      <c r="M12" s="40">
        <f t="shared" si="3"/>
        <v>0.3461656871173723</v>
      </c>
      <c r="N12" s="105">
        <v>25104976</v>
      </c>
      <c r="O12" s="106">
        <v>366561</v>
      </c>
      <c r="P12" s="107">
        <f t="shared" si="4"/>
        <v>25471537</v>
      </c>
      <c r="Q12" s="40">
        <f t="shared" si="5"/>
        <v>0.3064039407207786</v>
      </c>
      <c r="R12" s="105">
        <v>21657271</v>
      </c>
      <c r="S12" s="107">
        <v>0</v>
      </c>
      <c r="T12" s="107">
        <f t="shared" si="6"/>
        <v>21657271</v>
      </c>
      <c r="U12" s="40">
        <f t="shared" si="7"/>
        <v>0.27316064453804295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75534085</v>
      </c>
      <c r="AA12" s="78">
        <f t="shared" si="11"/>
        <v>371677</v>
      </c>
      <c r="AB12" s="78">
        <f t="shared" si="12"/>
        <v>75905762</v>
      </c>
      <c r="AC12" s="40">
        <f t="shared" si="13"/>
        <v>0.9573905628308982</v>
      </c>
      <c r="AD12" s="77">
        <v>21424497</v>
      </c>
      <c r="AE12" s="78">
        <v>231432</v>
      </c>
      <c r="AF12" s="78">
        <f t="shared" si="14"/>
        <v>21655929</v>
      </c>
      <c r="AG12" s="40">
        <f>IF(114984000=0,0,73824702/114984000)</f>
        <v>0.6420432581924441</v>
      </c>
      <c r="AH12" s="40">
        <f t="shared" si="15"/>
        <v>6.196917250700373E-05</v>
      </c>
      <c r="AI12" s="12">
        <v>113311000</v>
      </c>
      <c r="AJ12" s="12">
        <v>114984000</v>
      </c>
      <c r="AK12" s="12">
        <v>73824702</v>
      </c>
      <c r="AL12" s="12"/>
    </row>
    <row r="13" spans="1:38" s="56" customFormat="1" ht="12.75">
      <c r="A13" s="61"/>
      <c r="B13" s="62" t="s">
        <v>492</v>
      </c>
      <c r="C13" s="32"/>
      <c r="D13" s="81">
        <f>SUM(D9:D12)</f>
        <v>1250516139</v>
      </c>
      <c r="E13" s="82">
        <f>SUM(E9:E12)</f>
        <v>617778938</v>
      </c>
      <c r="F13" s="90">
        <f t="shared" si="0"/>
        <v>1868295077</v>
      </c>
      <c r="G13" s="81">
        <f>SUM(G9:G12)</f>
        <v>1127653028</v>
      </c>
      <c r="H13" s="82">
        <f>SUM(H9:H12)</f>
        <v>368682984</v>
      </c>
      <c r="I13" s="83">
        <f t="shared" si="1"/>
        <v>1496336012</v>
      </c>
      <c r="J13" s="81">
        <f>SUM(J9:J12)</f>
        <v>479092766</v>
      </c>
      <c r="K13" s="82">
        <f>SUM(K9:K12)</f>
        <v>59032476</v>
      </c>
      <c r="L13" s="82">
        <f t="shared" si="2"/>
        <v>538125242</v>
      </c>
      <c r="M13" s="44">
        <f t="shared" si="3"/>
        <v>0.2880301129220392</v>
      </c>
      <c r="N13" s="111">
        <f>SUM(N9:N12)</f>
        <v>220669027</v>
      </c>
      <c r="O13" s="112">
        <f>SUM(O9:O12)</f>
        <v>92795842</v>
      </c>
      <c r="P13" s="113">
        <f t="shared" si="4"/>
        <v>313464869</v>
      </c>
      <c r="Q13" s="44">
        <f t="shared" si="5"/>
        <v>0.16778124229891123</v>
      </c>
      <c r="R13" s="111">
        <f>SUM(R9:R12)</f>
        <v>220568687</v>
      </c>
      <c r="S13" s="113">
        <f>SUM(S9:S12)</f>
        <v>59847121</v>
      </c>
      <c r="T13" s="113">
        <f t="shared" si="6"/>
        <v>280415808</v>
      </c>
      <c r="U13" s="44">
        <f t="shared" si="7"/>
        <v>0.18740163021619505</v>
      </c>
      <c r="V13" s="111">
        <f>SUM(V9:V12)</f>
        <v>0</v>
      </c>
      <c r="W13" s="113">
        <f>SUM(W9:W12)</f>
        <v>0</v>
      </c>
      <c r="X13" s="113">
        <f t="shared" si="8"/>
        <v>0</v>
      </c>
      <c r="Y13" s="44">
        <f t="shared" si="9"/>
        <v>0</v>
      </c>
      <c r="Z13" s="81">
        <f t="shared" si="10"/>
        <v>920330480</v>
      </c>
      <c r="AA13" s="82">
        <f t="shared" si="11"/>
        <v>211675439</v>
      </c>
      <c r="AB13" s="82">
        <f t="shared" si="12"/>
        <v>1132005919</v>
      </c>
      <c r="AC13" s="44">
        <f t="shared" si="13"/>
        <v>0.7565185292085318</v>
      </c>
      <c r="AD13" s="81">
        <f>SUM(AD9:AD12)</f>
        <v>311429313</v>
      </c>
      <c r="AE13" s="82">
        <f>SUM(AE9:AE12)</f>
        <v>45622740</v>
      </c>
      <c r="AF13" s="82">
        <f t="shared" si="14"/>
        <v>357052053</v>
      </c>
      <c r="AG13" s="44">
        <f>IF(114984000=0,0,73824702/114984000)</f>
        <v>0.6420432581924441</v>
      </c>
      <c r="AH13" s="44">
        <f t="shared" si="15"/>
        <v>-0.21463605756105264</v>
      </c>
      <c r="AI13" s="63">
        <f>SUM(AI9:AI12)</f>
        <v>1803481379</v>
      </c>
      <c r="AJ13" s="63">
        <f>SUM(AJ9:AJ12)</f>
        <v>1469362921</v>
      </c>
      <c r="AK13" s="63">
        <f>SUM(AK9:AK12)</f>
        <v>1229071712</v>
      </c>
      <c r="AL13" s="63"/>
    </row>
    <row r="14" spans="1:38" s="13" customFormat="1" ht="12.75">
      <c r="A14" s="29" t="s">
        <v>96</v>
      </c>
      <c r="B14" s="60" t="s">
        <v>493</v>
      </c>
      <c r="C14" s="39" t="s">
        <v>494</v>
      </c>
      <c r="D14" s="77">
        <v>60062687</v>
      </c>
      <c r="E14" s="78">
        <v>16409000</v>
      </c>
      <c r="F14" s="79">
        <f t="shared" si="0"/>
        <v>76471687</v>
      </c>
      <c r="G14" s="77">
        <v>61562687</v>
      </c>
      <c r="H14" s="78">
        <v>10052884</v>
      </c>
      <c r="I14" s="80">
        <f t="shared" si="1"/>
        <v>71615571</v>
      </c>
      <c r="J14" s="77">
        <v>22230323</v>
      </c>
      <c r="K14" s="78">
        <v>591276</v>
      </c>
      <c r="L14" s="78">
        <f t="shared" si="2"/>
        <v>22821599</v>
      </c>
      <c r="M14" s="40">
        <f t="shared" si="3"/>
        <v>0.2984320066065758</v>
      </c>
      <c r="N14" s="105">
        <v>6856969</v>
      </c>
      <c r="O14" s="106">
        <v>681118</v>
      </c>
      <c r="P14" s="107">
        <f t="shared" si="4"/>
        <v>7538087</v>
      </c>
      <c r="Q14" s="40">
        <f t="shared" si="5"/>
        <v>0.09857356749564057</v>
      </c>
      <c r="R14" s="105">
        <v>26600427</v>
      </c>
      <c r="S14" s="107">
        <v>2398259</v>
      </c>
      <c r="T14" s="107">
        <f t="shared" si="6"/>
        <v>28998686</v>
      </c>
      <c r="U14" s="40">
        <f t="shared" si="7"/>
        <v>0.4049215218852336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55687719</v>
      </c>
      <c r="AA14" s="78">
        <f t="shared" si="11"/>
        <v>3670653</v>
      </c>
      <c r="AB14" s="78">
        <f t="shared" si="12"/>
        <v>59358372</v>
      </c>
      <c r="AC14" s="40">
        <f t="shared" si="13"/>
        <v>0.8288472907658587</v>
      </c>
      <c r="AD14" s="77">
        <v>25997774</v>
      </c>
      <c r="AE14" s="78">
        <v>2492525</v>
      </c>
      <c r="AF14" s="78">
        <f t="shared" si="14"/>
        <v>28490299</v>
      </c>
      <c r="AG14" s="40">
        <f>IF(81192365=0,0,66862857/81192365)</f>
        <v>0.8235116319126805</v>
      </c>
      <c r="AH14" s="40">
        <f t="shared" si="15"/>
        <v>0.017844214270969827</v>
      </c>
      <c r="AI14" s="12">
        <v>77836406</v>
      </c>
      <c r="AJ14" s="12">
        <v>81192365</v>
      </c>
      <c r="AK14" s="12">
        <v>66862857</v>
      </c>
      <c r="AL14" s="12"/>
    </row>
    <row r="15" spans="1:38" s="13" customFormat="1" ht="12.75">
      <c r="A15" s="29" t="s">
        <v>96</v>
      </c>
      <c r="B15" s="60" t="s">
        <v>495</v>
      </c>
      <c r="C15" s="39" t="s">
        <v>496</v>
      </c>
      <c r="D15" s="77">
        <v>244418643</v>
      </c>
      <c r="E15" s="78">
        <v>30911055</v>
      </c>
      <c r="F15" s="79">
        <f t="shared" si="0"/>
        <v>275329698</v>
      </c>
      <c r="G15" s="77">
        <v>227777861</v>
      </c>
      <c r="H15" s="78">
        <v>23324654</v>
      </c>
      <c r="I15" s="80">
        <f t="shared" si="1"/>
        <v>251102515</v>
      </c>
      <c r="J15" s="77">
        <v>94806221</v>
      </c>
      <c r="K15" s="78">
        <v>1934326</v>
      </c>
      <c r="L15" s="78">
        <f t="shared" si="2"/>
        <v>96740547</v>
      </c>
      <c r="M15" s="40">
        <f t="shared" si="3"/>
        <v>0.3513625580630245</v>
      </c>
      <c r="N15" s="105">
        <v>36274136</v>
      </c>
      <c r="O15" s="106">
        <v>9693364</v>
      </c>
      <c r="P15" s="107">
        <f t="shared" si="4"/>
        <v>45967500</v>
      </c>
      <c r="Q15" s="40">
        <f t="shared" si="5"/>
        <v>0.16695438354056524</v>
      </c>
      <c r="R15" s="105">
        <v>34307801</v>
      </c>
      <c r="S15" s="107">
        <v>1910655</v>
      </c>
      <c r="T15" s="107">
        <f t="shared" si="6"/>
        <v>36218456</v>
      </c>
      <c r="U15" s="40">
        <f t="shared" si="7"/>
        <v>0.14423772696979956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165388158</v>
      </c>
      <c r="AA15" s="78">
        <f t="shared" si="11"/>
        <v>13538345</v>
      </c>
      <c r="AB15" s="78">
        <f t="shared" si="12"/>
        <v>178926503</v>
      </c>
      <c r="AC15" s="40">
        <f t="shared" si="13"/>
        <v>0.7125635639292581</v>
      </c>
      <c r="AD15" s="77">
        <v>27463942</v>
      </c>
      <c r="AE15" s="78">
        <v>2386853</v>
      </c>
      <c r="AF15" s="78">
        <f t="shared" si="14"/>
        <v>29850795</v>
      </c>
      <c r="AG15" s="40">
        <f>IF(274764150=0,0,154798216/274764150)</f>
        <v>0.5633857837712817</v>
      </c>
      <c r="AH15" s="40">
        <f t="shared" si="15"/>
        <v>0.21331629526114804</v>
      </c>
      <c r="AI15" s="12">
        <v>230530821</v>
      </c>
      <c r="AJ15" s="12">
        <v>274764150</v>
      </c>
      <c r="AK15" s="12">
        <v>154798216</v>
      </c>
      <c r="AL15" s="12"/>
    </row>
    <row r="16" spans="1:38" s="13" customFormat="1" ht="12.75">
      <c r="A16" s="29" t="s">
        <v>96</v>
      </c>
      <c r="B16" s="60" t="s">
        <v>497</v>
      </c>
      <c r="C16" s="39" t="s">
        <v>498</v>
      </c>
      <c r="D16" s="77">
        <v>44929000</v>
      </c>
      <c r="E16" s="78">
        <v>7960000</v>
      </c>
      <c r="F16" s="79">
        <f t="shared" si="0"/>
        <v>52889000</v>
      </c>
      <c r="G16" s="77">
        <v>47153000</v>
      </c>
      <c r="H16" s="78">
        <v>9016000</v>
      </c>
      <c r="I16" s="80">
        <f t="shared" si="1"/>
        <v>56169000</v>
      </c>
      <c r="J16" s="77">
        <v>17844402</v>
      </c>
      <c r="K16" s="78">
        <v>885331</v>
      </c>
      <c r="L16" s="78">
        <f t="shared" si="2"/>
        <v>18729733</v>
      </c>
      <c r="M16" s="40">
        <f t="shared" si="3"/>
        <v>0.35413286316625386</v>
      </c>
      <c r="N16" s="105">
        <v>6705762</v>
      </c>
      <c r="O16" s="106">
        <v>1045716</v>
      </c>
      <c r="P16" s="107">
        <f t="shared" si="4"/>
        <v>7751478</v>
      </c>
      <c r="Q16" s="40">
        <f t="shared" si="5"/>
        <v>0.14656125092174177</v>
      </c>
      <c r="R16" s="105">
        <v>6646628</v>
      </c>
      <c r="S16" s="107">
        <v>532453</v>
      </c>
      <c r="T16" s="107">
        <f t="shared" si="6"/>
        <v>7179081</v>
      </c>
      <c r="U16" s="40">
        <f t="shared" si="7"/>
        <v>0.1278121561715537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31196792</v>
      </c>
      <c r="AA16" s="78">
        <f t="shared" si="11"/>
        <v>2463500</v>
      </c>
      <c r="AB16" s="78">
        <f t="shared" si="12"/>
        <v>33660292</v>
      </c>
      <c r="AC16" s="40">
        <f t="shared" si="13"/>
        <v>0.5992681372287205</v>
      </c>
      <c r="AD16" s="77">
        <v>8751067</v>
      </c>
      <c r="AE16" s="78">
        <v>1433026</v>
      </c>
      <c r="AF16" s="78">
        <f t="shared" si="14"/>
        <v>10184093</v>
      </c>
      <c r="AG16" s="40">
        <f>IF(47216000=0,0,37067481/47216000)</f>
        <v>0.785061864622162</v>
      </c>
      <c r="AH16" s="40">
        <f t="shared" si="15"/>
        <v>-0.2950691828913974</v>
      </c>
      <c r="AI16" s="12">
        <v>45483250</v>
      </c>
      <c r="AJ16" s="12">
        <v>47216000</v>
      </c>
      <c r="AK16" s="12">
        <v>37067481</v>
      </c>
      <c r="AL16" s="12"/>
    </row>
    <row r="17" spans="1:38" s="13" customFormat="1" ht="12.75">
      <c r="A17" s="29" t="s">
        <v>96</v>
      </c>
      <c r="B17" s="60" t="s">
        <v>499</v>
      </c>
      <c r="C17" s="39" t="s">
        <v>500</v>
      </c>
      <c r="D17" s="77">
        <v>85919792</v>
      </c>
      <c r="E17" s="78">
        <v>26473809</v>
      </c>
      <c r="F17" s="79">
        <f t="shared" si="0"/>
        <v>112393601</v>
      </c>
      <c r="G17" s="77">
        <v>87139274</v>
      </c>
      <c r="H17" s="78">
        <v>26823000</v>
      </c>
      <c r="I17" s="80">
        <f t="shared" si="1"/>
        <v>113962274</v>
      </c>
      <c r="J17" s="77">
        <v>18663645</v>
      </c>
      <c r="K17" s="78">
        <v>2038657</v>
      </c>
      <c r="L17" s="78">
        <f t="shared" si="2"/>
        <v>20702302</v>
      </c>
      <c r="M17" s="40">
        <f t="shared" si="3"/>
        <v>0.18419466780853475</v>
      </c>
      <c r="N17" s="105">
        <v>8303311</v>
      </c>
      <c r="O17" s="106">
        <v>4822692</v>
      </c>
      <c r="P17" s="107">
        <f t="shared" si="4"/>
        <v>13126003</v>
      </c>
      <c r="Q17" s="40">
        <f t="shared" si="5"/>
        <v>0.11678603482061226</v>
      </c>
      <c r="R17" s="105">
        <v>14925744</v>
      </c>
      <c r="S17" s="107">
        <v>4298963</v>
      </c>
      <c r="T17" s="107">
        <f t="shared" si="6"/>
        <v>19224707</v>
      </c>
      <c r="U17" s="40">
        <f t="shared" si="7"/>
        <v>0.16869360644734063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41892700</v>
      </c>
      <c r="AA17" s="78">
        <f t="shared" si="11"/>
        <v>11160312</v>
      </c>
      <c r="AB17" s="78">
        <f t="shared" si="12"/>
        <v>53053012</v>
      </c>
      <c r="AC17" s="40">
        <f t="shared" si="13"/>
        <v>0.46553135645573374</v>
      </c>
      <c r="AD17" s="77">
        <v>25843950</v>
      </c>
      <c r="AE17" s="78">
        <v>1867650</v>
      </c>
      <c r="AF17" s="78">
        <f t="shared" si="14"/>
        <v>27711600</v>
      </c>
      <c r="AG17" s="40">
        <f>IF(105997612=0,0,70334264/105997612)</f>
        <v>0.6635457410115994</v>
      </c>
      <c r="AH17" s="40">
        <f t="shared" si="15"/>
        <v>-0.3062577765267974</v>
      </c>
      <c r="AI17" s="12">
        <v>99440726</v>
      </c>
      <c r="AJ17" s="12">
        <v>105997612</v>
      </c>
      <c r="AK17" s="12">
        <v>70334264</v>
      </c>
      <c r="AL17" s="12"/>
    </row>
    <row r="18" spans="1:38" s="13" customFormat="1" ht="12.75">
      <c r="A18" s="29" t="s">
        <v>96</v>
      </c>
      <c r="B18" s="60" t="s">
        <v>501</v>
      </c>
      <c r="C18" s="39" t="s">
        <v>502</v>
      </c>
      <c r="D18" s="77">
        <v>47973900</v>
      </c>
      <c r="E18" s="78">
        <v>8005000</v>
      </c>
      <c r="F18" s="79">
        <f t="shared" si="0"/>
        <v>55978900</v>
      </c>
      <c r="G18" s="77">
        <v>47973900</v>
      </c>
      <c r="H18" s="78">
        <v>11005000</v>
      </c>
      <c r="I18" s="80">
        <f t="shared" si="1"/>
        <v>58978900</v>
      </c>
      <c r="J18" s="77">
        <v>17671446</v>
      </c>
      <c r="K18" s="78">
        <v>0</v>
      </c>
      <c r="L18" s="78">
        <f t="shared" si="2"/>
        <v>17671446</v>
      </c>
      <c r="M18" s="40">
        <f t="shared" si="3"/>
        <v>0.31568047960928136</v>
      </c>
      <c r="N18" s="105">
        <v>8371439</v>
      </c>
      <c r="O18" s="106">
        <v>1041205</v>
      </c>
      <c r="P18" s="107">
        <f t="shared" si="4"/>
        <v>9412644</v>
      </c>
      <c r="Q18" s="40">
        <f t="shared" si="5"/>
        <v>0.16814628368903284</v>
      </c>
      <c r="R18" s="105">
        <v>10055271</v>
      </c>
      <c r="S18" s="107">
        <v>3495658</v>
      </c>
      <c r="T18" s="107">
        <f t="shared" si="6"/>
        <v>13550929</v>
      </c>
      <c r="U18" s="40">
        <f t="shared" si="7"/>
        <v>0.22975893073624634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36098156</v>
      </c>
      <c r="AA18" s="78">
        <f t="shared" si="11"/>
        <v>4536863</v>
      </c>
      <c r="AB18" s="78">
        <f t="shared" si="12"/>
        <v>40635019</v>
      </c>
      <c r="AC18" s="40">
        <f t="shared" si="13"/>
        <v>0.6889755319275198</v>
      </c>
      <c r="AD18" s="77">
        <v>11208570</v>
      </c>
      <c r="AE18" s="78">
        <v>992739</v>
      </c>
      <c r="AF18" s="78">
        <f t="shared" si="14"/>
        <v>12201309</v>
      </c>
      <c r="AG18" s="40">
        <f>IF(49958006=0,0,49178633/49958006)</f>
        <v>0.9843994373994831</v>
      </c>
      <c r="AH18" s="40">
        <f t="shared" si="15"/>
        <v>0.11061272196286476</v>
      </c>
      <c r="AI18" s="12">
        <v>49958006</v>
      </c>
      <c r="AJ18" s="12">
        <v>49958006</v>
      </c>
      <c r="AK18" s="12">
        <v>49178633</v>
      </c>
      <c r="AL18" s="12"/>
    </row>
    <row r="19" spans="1:38" s="13" customFormat="1" ht="12.75">
      <c r="A19" s="29" t="s">
        <v>96</v>
      </c>
      <c r="B19" s="60" t="s">
        <v>503</v>
      </c>
      <c r="C19" s="39" t="s">
        <v>504</v>
      </c>
      <c r="D19" s="77">
        <v>56293936</v>
      </c>
      <c r="E19" s="78">
        <v>8343860</v>
      </c>
      <c r="F19" s="79">
        <f t="shared" si="0"/>
        <v>64637796</v>
      </c>
      <c r="G19" s="77">
        <v>59510006</v>
      </c>
      <c r="H19" s="78">
        <v>7706360</v>
      </c>
      <c r="I19" s="80">
        <f t="shared" si="1"/>
        <v>67216366</v>
      </c>
      <c r="J19" s="77">
        <v>14599396</v>
      </c>
      <c r="K19" s="78">
        <v>0</v>
      </c>
      <c r="L19" s="78">
        <f t="shared" si="2"/>
        <v>14599396</v>
      </c>
      <c r="M19" s="40">
        <f t="shared" si="3"/>
        <v>0.2258646937776158</v>
      </c>
      <c r="N19" s="105">
        <v>11117621</v>
      </c>
      <c r="O19" s="106">
        <v>184767</v>
      </c>
      <c r="P19" s="107">
        <f t="shared" si="4"/>
        <v>11302388</v>
      </c>
      <c r="Q19" s="40">
        <f t="shared" si="5"/>
        <v>0.17485726153162773</v>
      </c>
      <c r="R19" s="105">
        <v>9492100</v>
      </c>
      <c r="S19" s="107">
        <v>1103954</v>
      </c>
      <c r="T19" s="107">
        <f t="shared" si="6"/>
        <v>10596054</v>
      </c>
      <c r="U19" s="40">
        <f t="shared" si="7"/>
        <v>0.1576409828523012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35209117</v>
      </c>
      <c r="AA19" s="78">
        <f t="shared" si="11"/>
        <v>1288721</v>
      </c>
      <c r="AB19" s="78">
        <f t="shared" si="12"/>
        <v>36497838</v>
      </c>
      <c r="AC19" s="40">
        <f t="shared" si="13"/>
        <v>0.5429903485112539</v>
      </c>
      <c r="AD19" s="77">
        <v>11461877</v>
      </c>
      <c r="AE19" s="78">
        <v>2311439</v>
      </c>
      <c r="AF19" s="78">
        <f t="shared" si="14"/>
        <v>13773316</v>
      </c>
      <c r="AG19" s="40">
        <f>IF(71850710=0,0,48436326/71850710)</f>
        <v>0.6741245284841305</v>
      </c>
      <c r="AH19" s="40">
        <f t="shared" si="15"/>
        <v>-0.23068242970683317</v>
      </c>
      <c r="AI19" s="12">
        <v>68536180</v>
      </c>
      <c r="AJ19" s="12">
        <v>71850710</v>
      </c>
      <c r="AK19" s="12">
        <v>48436326</v>
      </c>
      <c r="AL19" s="12"/>
    </row>
    <row r="20" spans="1:38" s="13" customFormat="1" ht="12.75">
      <c r="A20" s="29" t="s">
        <v>115</v>
      </c>
      <c r="B20" s="60" t="s">
        <v>505</v>
      </c>
      <c r="C20" s="39" t="s">
        <v>506</v>
      </c>
      <c r="D20" s="77">
        <v>98505705</v>
      </c>
      <c r="E20" s="78">
        <v>93000</v>
      </c>
      <c r="F20" s="79">
        <f t="shared" si="0"/>
        <v>98598705</v>
      </c>
      <c r="G20" s="77">
        <v>98505705</v>
      </c>
      <c r="H20" s="78">
        <v>93000</v>
      </c>
      <c r="I20" s="80">
        <f t="shared" si="1"/>
        <v>98598705</v>
      </c>
      <c r="J20" s="77">
        <v>16045719</v>
      </c>
      <c r="K20" s="78">
        <v>81354</v>
      </c>
      <c r="L20" s="78">
        <f t="shared" si="2"/>
        <v>16127073</v>
      </c>
      <c r="M20" s="40">
        <f t="shared" si="3"/>
        <v>0.16356272630558383</v>
      </c>
      <c r="N20" s="105">
        <v>18182240</v>
      </c>
      <c r="O20" s="106">
        <v>8435</v>
      </c>
      <c r="P20" s="107">
        <f t="shared" si="4"/>
        <v>18190675</v>
      </c>
      <c r="Q20" s="40">
        <f t="shared" si="5"/>
        <v>0.18449202755756275</v>
      </c>
      <c r="R20" s="105">
        <v>14627241</v>
      </c>
      <c r="S20" s="107">
        <v>29952</v>
      </c>
      <c r="T20" s="107">
        <f t="shared" si="6"/>
        <v>14657193</v>
      </c>
      <c r="U20" s="40">
        <f t="shared" si="7"/>
        <v>0.14865502543872153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48855200</v>
      </c>
      <c r="AA20" s="78">
        <f t="shared" si="11"/>
        <v>119741</v>
      </c>
      <c r="AB20" s="78">
        <f t="shared" si="12"/>
        <v>48974941</v>
      </c>
      <c r="AC20" s="40">
        <f t="shared" si="13"/>
        <v>0.4967097793018681</v>
      </c>
      <c r="AD20" s="77">
        <v>13014832</v>
      </c>
      <c r="AE20" s="78">
        <v>136615</v>
      </c>
      <c r="AF20" s="78">
        <f t="shared" si="14"/>
        <v>13151447</v>
      </c>
      <c r="AG20" s="40">
        <f>IF(95679006=0,0,46127358/95679006)</f>
        <v>0.4821053220389852</v>
      </c>
      <c r="AH20" s="40">
        <f t="shared" si="15"/>
        <v>0.11449280067813072</v>
      </c>
      <c r="AI20" s="12">
        <v>91436971</v>
      </c>
      <c r="AJ20" s="12">
        <v>95679006</v>
      </c>
      <c r="AK20" s="12">
        <v>46127358</v>
      </c>
      <c r="AL20" s="12"/>
    </row>
    <row r="21" spans="1:38" s="56" customFormat="1" ht="12.75">
      <c r="A21" s="61"/>
      <c r="B21" s="62" t="s">
        <v>507</v>
      </c>
      <c r="C21" s="32"/>
      <c r="D21" s="81">
        <f>SUM(D14:D20)</f>
        <v>638103663</v>
      </c>
      <c r="E21" s="82">
        <f>SUM(E14:E20)</f>
        <v>98195724</v>
      </c>
      <c r="F21" s="83">
        <f t="shared" si="0"/>
        <v>736299387</v>
      </c>
      <c r="G21" s="81">
        <f>SUM(G14:G20)</f>
        <v>629622433</v>
      </c>
      <c r="H21" s="82">
        <f>SUM(H14:H20)</f>
        <v>88020898</v>
      </c>
      <c r="I21" s="83">
        <f t="shared" si="1"/>
        <v>717643331</v>
      </c>
      <c r="J21" s="81">
        <f>SUM(J14:J20)</f>
        <v>201861152</v>
      </c>
      <c r="K21" s="82">
        <f>SUM(K14:K20)</f>
        <v>5530944</v>
      </c>
      <c r="L21" s="82">
        <f t="shared" si="2"/>
        <v>207392096</v>
      </c>
      <c r="M21" s="44">
        <f t="shared" si="3"/>
        <v>0.28166816333367395</v>
      </c>
      <c r="N21" s="111">
        <f>SUM(N14:N20)</f>
        <v>95811478</v>
      </c>
      <c r="O21" s="112">
        <f>SUM(O14:O20)</f>
        <v>17477297</v>
      </c>
      <c r="P21" s="113">
        <f t="shared" si="4"/>
        <v>113288775</v>
      </c>
      <c r="Q21" s="44">
        <f t="shared" si="5"/>
        <v>0.15386237853814755</v>
      </c>
      <c r="R21" s="111">
        <f>SUM(R14:R20)</f>
        <v>116655212</v>
      </c>
      <c r="S21" s="113">
        <f>SUM(S14:S20)</f>
        <v>13769894</v>
      </c>
      <c r="T21" s="113">
        <f t="shared" si="6"/>
        <v>130425106</v>
      </c>
      <c r="U21" s="44">
        <f t="shared" si="7"/>
        <v>0.18174084585759218</v>
      </c>
      <c r="V21" s="111">
        <f>SUM(V14:V20)</f>
        <v>0</v>
      </c>
      <c r="W21" s="113">
        <f>SUM(W14:W20)</f>
        <v>0</v>
      </c>
      <c r="X21" s="113">
        <f t="shared" si="8"/>
        <v>0</v>
      </c>
      <c r="Y21" s="44">
        <f t="shared" si="9"/>
        <v>0</v>
      </c>
      <c r="Z21" s="81">
        <f t="shared" si="10"/>
        <v>414327842</v>
      </c>
      <c r="AA21" s="82">
        <f t="shared" si="11"/>
        <v>36778135</v>
      </c>
      <c r="AB21" s="82">
        <f t="shared" si="12"/>
        <v>451105977</v>
      </c>
      <c r="AC21" s="44">
        <f t="shared" si="13"/>
        <v>0.6285935610540775</v>
      </c>
      <c r="AD21" s="81">
        <f>SUM(AD14:AD20)</f>
        <v>123742012</v>
      </c>
      <c r="AE21" s="82">
        <f>SUM(AE14:AE20)</f>
        <v>11620847</v>
      </c>
      <c r="AF21" s="82">
        <f t="shared" si="14"/>
        <v>135362859</v>
      </c>
      <c r="AG21" s="44">
        <f>IF(95679006=0,0,46127358/95679006)</f>
        <v>0.4821053220389852</v>
      </c>
      <c r="AH21" s="44">
        <f t="shared" si="15"/>
        <v>-0.03647790122399819</v>
      </c>
      <c r="AI21" s="63">
        <f>SUM(AI14:AI20)</f>
        <v>663222360</v>
      </c>
      <c r="AJ21" s="63">
        <f>SUM(AJ14:AJ20)</f>
        <v>726657849</v>
      </c>
      <c r="AK21" s="63">
        <f>SUM(AK14:AK20)</f>
        <v>472805135</v>
      </c>
      <c r="AL21" s="63"/>
    </row>
    <row r="22" spans="1:38" s="13" customFormat="1" ht="12.75">
      <c r="A22" s="29" t="s">
        <v>96</v>
      </c>
      <c r="B22" s="60" t="s">
        <v>508</v>
      </c>
      <c r="C22" s="39" t="s">
        <v>509</v>
      </c>
      <c r="D22" s="77">
        <v>115955622</v>
      </c>
      <c r="E22" s="78">
        <v>11791000</v>
      </c>
      <c r="F22" s="79">
        <f t="shared" si="0"/>
        <v>127746622</v>
      </c>
      <c r="G22" s="77">
        <v>115955622</v>
      </c>
      <c r="H22" s="78">
        <v>11791000</v>
      </c>
      <c r="I22" s="80">
        <f t="shared" si="1"/>
        <v>127746622</v>
      </c>
      <c r="J22" s="77">
        <v>22553154</v>
      </c>
      <c r="K22" s="78">
        <v>1114629</v>
      </c>
      <c r="L22" s="78">
        <f t="shared" si="2"/>
        <v>23667783</v>
      </c>
      <c r="M22" s="40">
        <f t="shared" si="3"/>
        <v>0.18527130212492038</v>
      </c>
      <c r="N22" s="105">
        <v>14237004</v>
      </c>
      <c r="O22" s="106">
        <v>1378080</v>
      </c>
      <c r="P22" s="107">
        <f t="shared" si="4"/>
        <v>15615084</v>
      </c>
      <c r="Q22" s="40">
        <f t="shared" si="5"/>
        <v>0.12223480946525538</v>
      </c>
      <c r="R22" s="105">
        <v>5033791</v>
      </c>
      <c r="S22" s="107">
        <v>1020560</v>
      </c>
      <c r="T22" s="107">
        <f t="shared" si="6"/>
        <v>6054351</v>
      </c>
      <c r="U22" s="40">
        <f t="shared" si="7"/>
        <v>0.0473934332290994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41823949</v>
      </c>
      <c r="AA22" s="78">
        <f t="shared" si="11"/>
        <v>3513269</v>
      </c>
      <c r="AB22" s="78">
        <f t="shared" si="12"/>
        <v>45337218</v>
      </c>
      <c r="AC22" s="40">
        <f t="shared" si="13"/>
        <v>0.35489954481927516</v>
      </c>
      <c r="AD22" s="77">
        <v>21746824</v>
      </c>
      <c r="AE22" s="78">
        <v>2293268</v>
      </c>
      <c r="AF22" s="78">
        <f t="shared" si="14"/>
        <v>24040092</v>
      </c>
      <c r="AG22" s="40">
        <f>IF(96630000=0,0,89385504/96630000)</f>
        <v>0.9250285004656938</v>
      </c>
      <c r="AH22" s="40">
        <f t="shared" si="15"/>
        <v>-0.7481560802679125</v>
      </c>
      <c r="AI22" s="12">
        <v>96630000</v>
      </c>
      <c r="AJ22" s="12">
        <v>96630000</v>
      </c>
      <c r="AK22" s="12">
        <v>89385504</v>
      </c>
      <c r="AL22" s="12"/>
    </row>
    <row r="23" spans="1:38" s="13" customFormat="1" ht="12.75">
      <c r="A23" s="29" t="s">
        <v>96</v>
      </c>
      <c r="B23" s="60" t="s">
        <v>510</v>
      </c>
      <c r="C23" s="39" t="s">
        <v>511</v>
      </c>
      <c r="D23" s="77">
        <v>118092745</v>
      </c>
      <c r="E23" s="78">
        <v>57273300</v>
      </c>
      <c r="F23" s="79">
        <f t="shared" si="0"/>
        <v>175366045</v>
      </c>
      <c r="G23" s="77">
        <v>126369755</v>
      </c>
      <c r="H23" s="78">
        <v>78179039</v>
      </c>
      <c r="I23" s="80">
        <f t="shared" si="1"/>
        <v>204548794</v>
      </c>
      <c r="J23" s="77">
        <v>36811159</v>
      </c>
      <c r="K23" s="78">
        <v>4894577</v>
      </c>
      <c r="L23" s="78">
        <f t="shared" si="2"/>
        <v>41705736</v>
      </c>
      <c r="M23" s="40">
        <f t="shared" si="3"/>
        <v>0.23782104454713568</v>
      </c>
      <c r="N23" s="105">
        <v>39002993</v>
      </c>
      <c r="O23" s="106">
        <v>14245201</v>
      </c>
      <c r="P23" s="107">
        <f t="shared" si="4"/>
        <v>53248194</v>
      </c>
      <c r="Q23" s="40">
        <f t="shared" si="5"/>
        <v>0.30364027426175916</v>
      </c>
      <c r="R23" s="105">
        <v>18608443</v>
      </c>
      <c r="S23" s="107">
        <v>22512266</v>
      </c>
      <c r="T23" s="107">
        <f t="shared" si="6"/>
        <v>41120709</v>
      </c>
      <c r="U23" s="40">
        <f t="shared" si="7"/>
        <v>0.20103129525173344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94422595</v>
      </c>
      <c r="AA23" s="78">
        <f t="shared" si="11"/>
        <v>41652044</v>
      </c>
      <c r="AB23" s="78">
        <f t="shared" si="12"/>
        <v>136074639</v>
      </c>
      <c r="AC23" s="40">
        <f t="shared" si="13"/>
        <v>0.6652429297627636</v>
      </c>
      <c r="AD23" s="77">
        <v>25911207</v>
      </c>
      <c r="AE23" s="78">
        <v>5660463</v>
      </c>
      <c r="AF23" s="78">
        <f t="shared" si="14"/>
        <v>31571670</v>
      </c>
      <c r="AG23" s="40">
        <f>IF(155966310=0,0,102649787/155966310)</f>
        <v>0.6581535909902594</v>
      </c>
      <c r="AH23" s="40">
        <f t="shared" si="15"/>
        <v>0.3024559359704444</v>
      </c>
      <c r="AI23" s="12">
        <v>141850870</v>
      </c>
      <c r="AJ23" s="12">
        <v>155966310</v>
      </c>
      <c r="AK23" s="12">
        <v>102649787</v>
      </c>
      <c r="AL23" s="12"/>
    </row>
    <row r="24" spans="1:38" s="13" customFormat="1" ht="12.75">
      <c r="A24" s="29" t="s">
        <v>96</v>
      </c>
      <c r="B24" s="60" t="s">
        <v>512</v>
      </c>
      <c r="C24" s="39" t="s">
        <v>513</v>
      </c>
      <c r="D24" s="77">
        <v>211697456</v>
      </c>
      <c r="E24" s="78">
        <v>67344191</v>
      </c>
      <c r="F24" s="79">
        <f t="shared" si="0"/>
        <v>279041647</v>
      </c>
      <c r="G24" s="77">
        <v>208092356</v>
      </c>
      <c r="H24" s="78">
        <v>19121291</v>
      </c>
      <c r="I24" s="80">
        <f t="shared" si="1"/>
        <v>227213647</v>
      </c>
      <c r="J24" s="77">
        <v>64331855</v>
      </c>
      <c r="K24" s="78">
        <v>970297</v>
      </c>
      <c r="L24" s="78">
        <f t="shared" si="2"/>
        <v>65302152</v>
      </c>
      <c r="M24" s="40">
        <f t="shared" si="3"/>
        <v>0.23402295930399236</v>
      </c>
      <c r="N24" s="105">
        <v>56575469</v>
      </c>
      <c r="O24" s="106">
        <v>3670938</v>
      </c>
      <c r="P24" s="107">
        <f t="shared" si="4"/>
        <v>60246407</v>
      </c>
      <c r="Q24" s="40">
        <f t="shared" si="5"/>
        <v>0.21590471403718456</v>
      </c>
      <c r="R24" s="105">
        <v>49412619</v>
      </c>
      <c r="S24" s="107">
        <v>1827728</v>
      </c>
      <c r="T24" s="107">
        <f t="shared" si="6"/>
        <v>51240347</v>
      </c>
      <c r="U24" s="40">
        <f t="shared" si="7"/>
        <v>0.22551615044495985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170319943</v>
      </c>
      <c r="AA24" s="78">
        <f t="shared" si="11"/>
        <v>6468963</v>
      </c>
      <c r="AB24" s="78">
        <f t="shared" si="12"/>
        <v>176788906</v>
      </c>
      <c r="AC24" s="40">
        <f t="shared" si="13"/>
        <v>0.7780734490829242</v>
      </c>
      <c r="AD24" s="77">
        <v>41288883</v>
      </c>
      <c r="AE24" s="78">
        <v>2911741</v>
      </c>
      <c r="AF24" s="78">
        <f t="shared" si="14"/>
        <v>44200624</v>
      </c>
      <c r="AG24" s="40">
        <f>IF(213791897=0,0,151025221/213791897)</f>
        <v>0.7064122781042539</v>
      </c>
      <c r="AH24" s="40">
        <f t="shared" si="15"/>
        <v>0.1592675026488315</v>
      </c>
      <c r="AI24" s="12">
        <v>240781897</v>
      </c>
      <c r="AJ24" s="12">
        <v>213791897</v>
      </c>
      <c r="AK24" s="12">
        <v>151025221</v>
      </c>
      <c r="AL24" s="12"/>
    </row>
    <row r="25" spans="1:38" s="13" customFormat="1" ht="12.75">
      <c r="A25" s="29" t="s">
        <v>96</v>
      </c>
      <c r="B25" s="60" t="s">
        <v>514</v>
      </c>
      <c r="C25" s="39" t="s">
        <v>515</v>
      </c>
      <c r="D25" s="77">
        <v>57355751</v>
      </c>
      <c r="E25" s="78">
        <v>7928000</v>
      </c>
      <c r="F25" s="79">
        <f t="shared" si="0"/>
        <v>65283751</v>
      </c>
      <c r="G25" s="77">
        <v>58071842</v>
      </c>
      <c r="H25" s="78">
        <v>10385119</v>
      </c>
      <c r="I25" s="80">
        <f t="shared" si="1"/>
        <v>68456961</v>
      </c>
      <c r="J25" s="77">
        <v>17989045</v>
      </c>
      <c r="K25" s="78">
        <v>1784631</v>
      </c>
      <c r="L25" s="78">
        <f t="shared" si="2"/>
        <v>19773676</v>
      </c>
      <c r="M25" s="40">
        <f t="shared" si="3"/>
        <v>0.3028881719740644</v>
      </c>
      <c r="N25" s="105">
        <v>12526964</v>
      </c>
      <c r="O25" s="106">
        <v>1587108</v>
      </c>
      <c r="P25" s="107">
        <f t="shared" si="4"/>
        <v>14114072</v>
      </c>
      <c r="Q25" s="40">
        <f t="shared" si="5"/>
        <v>0.21619578813723495</v>
      </c>
      <c r="R25" s="105">
        <v>11002107</v>
      </c>
      <c r="S25" s="107">
        <v>609453</v>
      </c>
      <c r="T25" s="107">
        <f t="shared" si="6"/>
        <v>11611560</v>
      </c>
      <c r="U25" s="40">
        <f t="shared" si="7"/>
        <v>0.16961839717074206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41518116</v>
      </c>
      <c r="AA25" s="78">
        <f t="shared" si="11"/>
        <v>3981192</v>
      </c>
      <c r="AB25" s="78">
        <f t="shared" si="12"/>
        <v>45499308</v>
      </c>
      <c r="AC25" s="40">
        <f t="shared" si="13"/>
        <v>0.6646410728048533</v>
      </c>
      <c r="AD25" s="77">
        <v>9326046</v>
      </c>
      <c r="AE25" s="78">
        <v>291596</v>
      </c>
      <c r="AF25" s="78">
        <f t="shared" si="14"/>
        <v>9617642</v>
      </c>
      <c r="AG25" s="40">
        <f>IF(71827001=0,0,39220375/71827001)</f>
        <v>0.5460394343904181</v>
      </c>
      <c r="AH25" s="40">
        <f t="shared" si="15"/>
        <v>0.20731880017991933</v>
      </c>
      <c r="AI25" s="12">
        <v>71827001</v>
      </c>
      <c r="AJ25" s="12">
        <v>71827001</v>
      </c>
      <c r="AK25" s="12">
        <v>39220375</v>
      </c>
      <c r="AL25" s="12"/>
    </row>
    <row r="26" spans="1:38" s="13" customFormat="1" ht="12.75">
      <c r="A26" s="29" t="s">
        <v>96</v>
      </c>
      <c r="B26" s="60" t="s">
        <v>516</v>
      </c>
      <c r="C26" s="39" t="s">
        <v>517</v>
      </c>
      <c r="D26" s="77">
        <v>51293800</v>
      </c>
      <c r="E26" s="78">
        <v>9890000</v>
      </c>
      <c r="F26" s="79">
        <f t="shared" si="0"/>
        <v>61183800</v>
      </c>
      <c r="G26" s="77">
        <v>51293800</v>
      </c>
      <c r="H26" s="78">
        <v>9890000</v>
      </c>
      <c r="I26" s="80">
        <f t="shared" si="1"/>
        <v>61183800</v>
      </c>
      <c r="J26" s="77">
        <v>9864991</v>
      </c>
      <c r="K26" s="78">
        <v>497372</v>
      </c>
      <c r="L26" s="78">
        <f t="shared" si="2"/>
        <v>10362363</v>
      </c>
      <c r="M26" s="40">
        <f t="shared" si="3"/>
        <v>0.16936448863914957</v>
      </c>
      <c r="N26" s="105">
        <v>15857787</v>
      </c>
      <c r="O26" s="106">
        <v>286652</v>
      </c>
      <c r="P26" s="107">
        <f t="shared" si="4"/>
        <v>16144439</v>
      </c>
      <c r="Q26" s="40">
        <f t="shared" si="5"/>
        <v>0.263867870253237</v>
      </c>
      <c r="R26" s="105">
        <v>3100337</v>
      </c>
      <c r="S26" s="107">
        <v>0</v>
      </c>
      <c r="T26" s="107">
        <f t="shared" si="6"/>
        <v>3100337</v>
      </c>
      <c r="U26" s="40">
        <f t="shared" si="7"/>
        <v>0.05067251461988304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28823115</v>
      </c>
      <c r="AA26" s="78">
        <f t="shared" si="11"/>
        <v>784024</v>
      </c>
      <c r="AB26" s="78">
        <f t="shared" si="12"/>
        <v>29607139</v>
      </c>
      <c r="AC26" s="40">
        <f t="shared" si="13"/>
        <v>0.4839048735122696</v>
      </c>
      <c r="AD26" s="77">
        <v>2632881</v>
      </c>
      <c r="AE26" s="78">
        <v>1602496</v>
      </c>
      <c r="AF26" s="78">
        <f t="shared" si="14"/>
        <v>4235377</v>
      </c>
      <c r="AG26" s="40">
        <f>IF(49940000=0,0,28635922/49940000)</f>
        <v>0.5734065278334001</v>
      </c>
      <c r="AH26" s="40">
        <f t="shared" si="15"/>
        <v>-0.26799031113405014</v>
      </c>
      <c r="AI26" s="12">
        <v>49940000</v>
      </c>
      <c r="AJ26" s="12">
        <v>49940000</v>
      </c>
      <c r="AK26" s="12">
        <v>28635922</v>
      </c>
      <c r="AL26" s="12"/>
    </row>
    <row r="27" spans="1:38" s="13" customFormat="1" ht="12.75">
      <c r="A27" s="29" t="s">
        <v>96</v>
      </c>
      <c r="B27" s="60" t="s">
        <v>518</v>
      </c>
      <c r="C27" s="39" t="s">
        <v>519</v>
      </c>
      <c r="D27" s="77">
        <v>56658310</v>
      </c>
      <c r="E27" s="78">
        <v>17256550</v>
      </c>
      <c r="F27" s="79">
        <f t="shared" si="0"/>
        <v>73914860</v>
      </c>
      <c r="G27" s="77">
        <v>62103830</v>
      </c>
      <c r="H27" s="78">
        <v>17256550</v>
      </c>
      <c r="I27" s="80">
        <f t="shared" si="1"/>
        <v>79360380</v>
      </c>
      <c r="J27" s="77">
        <v>20265682</v>
      </c>
      <c r="K27" s="78">
        <v>2997872</v>
      </c>
      <c r="L27" s="78">
        <f t="shared" si="2"/>
        <v>23263554</v>
      </c>
      <c r="M27" s="40">
        <f t="shared" si="3"/>
        <v>0.31473446611412104</v>
      </c>
      <c r="N27" s="105">
        <v>3703580</v>
      </c>
      <c r="O27" s="106">
        <v>9650823</v>
      </c>
      <c r="P27" s="107">
        <f t="shared" si="4"/>
        <v>13354403</v>
      </c>
      <c r="Q27" s="40">
        <f t="shared" si="5"/>
        <v>0.18067277675963941</v>
      </c>
      <c r="R27" s="105">
        <v>18954246</v>
      </c>
      <c r="S27" s="107">
        <v>4140458</v>
      </c>
      <c r="T27" s="107">
        <f t="shared" si="6"/>
        <v>23094704</v>
      </c>
      <c r="U27" s="40">
        <f t="shared" si="7"/>
        <v>0.2910105017138275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42923508</v>
      </c>
      <c r="AA27" s="78">
        <f t="shared" si="11"/>
        <v>16789153</v>
      </c>
      <c r="AB27" s="78">
        <f t="shared" si="12"/>
        <v>59712661</v>
      </c>
      <c r="AC27" s="40">
        <f t="shared" si="13"/>
        <v>0.7524240811346922</v>
      </c>
      <c r="AD27" s="77">
        <v>6647744</v>
      </c>
      <c r="AE27" s="78">
        <v>6253631</v>
      </c>
      <c r="AF27" s="78">
        <f t="shared" si="14"/>
        <v>12901375</v>
      </c>
      <c r="AG27" s="40">
        <f>IF(63722136=0,0,50921160/63722136)</f>
        <v>0.7991125721209346</v>
      </c>
      <c r="AH27" s="40">
        <f t="shared" si="15"/>
        <v>0.7900963269418957</v>
      </c>
      <c r="AI27" s="12">
        <v>72377799</v>
      </c>
      <c r="AJ27" s="12">
        <v>63722136</v>
      </c>
      <c r="AK27" s="12">
        <v>50921160</v>
      </c>
      <c r="AL27" s="12"/>
    </row>
    <row r="28" spans="1:38" s="13" customFormat="1" ht="12.75">
      <c r="A28" s="29" t="s">
        <v>96</v>
      </c>
      <c r="B28" s="60" t="s">
        <v>520</v>
      </c>
      <c r="C28" s="39" t="s">
        <v>521</v>
      </c>
      <c r="D28" s="77">
        <v>89301860</v>
      </c>
      <c r="E28" s="78">
        <v>9653000</v>
      </c>
      <c r="F28" s="79">
        <f t="shared" si="0"/>
        <v>98954860</v>
      </c>
      <c r="G28" s="77">
        <v>85654374</v>
      </c>
      <c r="H28" s="78">
        <v>9654000</v>
      </c>
      <c r="I28" s="80">
        <f t="shared" si="1"/>
        <v>95308374</v>
      </c>
      <c r="J28" s="77">
        <v>33470182</v>
      </c>
      <c r="K28" s="78">
        <v>3355356</v>
      </c>
      <c r="L28" s="78">
        <f t="shared" si="2"/>
        <v>36825538</v>
      </c>
      <c r="M28" s="40">
        <f t="shared" si="3"/>
        <v>0.3721448143123036</v>
      </c>
      <c r="N28" s="105">
        <v>11568492</v>
      </c>
      <c r="O28" s="106">
        <v>3847496</v>
      </c>
      <c r="P28" s="107">
        <f t="shared" si="4"/>
        <v>15415988</v>
      </c>
      <c r="Q28" s="40">
        <f t="shared" si="5"/>
        <v>0.15578808357669346</v>
      </c>
      <c r="R28" s="105">
        <v>13747555</v>
      </c>
      <c r="S28" s="107">
        <v>0</v>
      </c>
      <c r="T28" s="107">
        <f t="shared" si="6"/>
        <v>13747555</v>
      </c>
      <c r="U28" s="40">
        <f t="shared" si="7"/>
        <v>0.14424288677928762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58786229</v>
      </c>
      <c r="AA28" s="78">
        <f t="shared" si="11"/>
        <v>7202852</v>
      </c>
      <c r="AB28" s="78">
        <f t="shared" si="12"/>
        <v>65989081</v>
      </c>
      <c r="AC28" s="40">
        <f t="shared" si="13"/>
        <v>0.6923744287149417</v>
      </c>
      <c r="AD28" s="77">
        <v>17488687</v>
      </c>
      <c r="AE28" s="78">
        <v>0</v>
      </c>
      <c r="AF28" s="78">
        <f t="shared" si="14"/>
        <v>17488687</v>
      </c>
      <c r="AG28" s="40">
        <f>IF(87909000=0,0,60566970/87909000)</f>
        <v>0.6889734839436236</v>
      </c>
      <c r="AH28" s="40">
        <f t="shared" si="15"/>
        <v>-0.21391725976912956</v>
      </c>
      <c r="AI28" s="12">
        <v>87909000</v>
      </c>
      <c r="AJ28" s="12">
        <v>87909000</v>
      </c>
      <c r="AK28" s="12">
        <v>60566970</v>
      </c>
      <c r="AL28" s="12"/>
    </row>
    <row r="29" spans="1:38" s="13" customFormat="1" ht="12.75">
      <c r="A29" s="29" t="s">
        <v>96</v>
      </c>
      <c r="B29" s="60" t="s">
        <v>522</v>
      </c>
      <c r="C29" s="39" t="s">
        <v>523</v>
      </c>
      <c r="D29" s="77">
        <v>135232921</v>
      </c>
      <c r="E29" s="78">
        <v>27621000</v>
      </c>
      <c r="F29" s="79">
        <f t="shared" si="0"/>
        <v>162853921</v>
      </c>
      <c r="G29" s="77">
        <v>116257344</v>
      </c>
      <c r="H29" s="78">
        <v>25821000</v>
      </c>
      <c r="I29" s="80">
        <f t="shared" si="1"/>
        <v>142078344</v>
      </c>
      <c r="J29" s="77">
        <v>16929195</v>
      </c>
      <c r="K29" s="78">
        <v>4528769</v>
      </c>
      <c r="L29" s="78">
        <f t="shared" si="2"/>
        <v>21457964</v>
      </c>
      <c r="M29" s="40">
        <f t="shared" si="3"/>
        <v>0.1317620347624298</v>
      </c>
      <c r="N29" s="105">
        <v>28558853</v>
      </c>
      <c r="O29" s="106">
        <v>15566610</v>
      </c>
      <c r="P29" s="107">
        <f t="shared" si="4"/>
        <v>44125463</v>
      </c>
      <c r="Q29" s="40">
        <f t="shared" si="5"/>
        <v>0.27095118575622135</v>
      </c>
      <c r="R29" s="105">
        <v>23478527</v>
      </c>
      <c r="S29" s="107">
        <v>7489150</v>
      </c>
      <c r="T29" s="107">
        <f t="shared" si="6"/>
        <v>30967677</v>
      </c>
      <c r="U29" s="40">
        <f t="shared" si="7"/>
        <v>0.21796197877982024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68966575</v>
      </c>
      <c r="AA29" s="78">
        <f t="shared" si="11"/>
        <v>27584529</v>
      </c>
      <c r="AB29" s="78">
        <f t="shared" si="12"/>
        <v>96551104</v>
      </c>
      <c r="AC29" s="40">
        <f t="shared" si="13"/>
        <v>0.6795624250800671</v>
      </c>
      <c r="AD29" s="77">
        <v>11861068</v>
      </c>
      <c r="AE29" s="78">
        <v>16479925</v>
      </c>
      <c r="AF29" s="78">
        <f t="shared" si="14"/>
        <v>28340993</v>
      </c>
      <c r="AG29" s="40">
        <f>IF(149936004=0,0,91712281/149936004)</f>
        <v>0.6116761721887692</v>
      </c>
      <c r="AH29" s="40">
        <f t="shared" si="15"/>
        <v>0.09268143850852373</v>
      </c>
      <c r="AI29" s="12">
        <v>166515706</v>
      </c>
      <c r="AJ29" s="12">
        <v>149936004</v>
      </c>
      <c r="AK29" s="12">
        <v>91712281</v>
      </c>
      <c r="AL29" s="12"/>
    </row>
    <row r="30" spans="1:38" s="13" customFormat="1" ht="12.75">
      <c r="A30" s="29" t="s">
        <v>115</v>
      </c>
      <c r="B30" s="60" t="s">
        <v>524</v>
      </c>
      <c r="C30" s="39" t="s">
        <v>525</v>
      </c>
      <c r="D30" s="77">
        <v>46734875</v>
      </c>
      <c r="E30" s="78">
        <v>0</v>
      </c>
      <c r="F30" s="79">
        <f t="shared" si="0"/>
        <v>46734875</v>
      </c>
      <c r="G30" s="77">
        <v>29423000</v>
      </c>
      <c r="H30" s="78">
        <v>0</v>
      </c>
      <c r="I30" s="80">
        <f t="shared" si="1"/>
        <v>29423000</v>
      </c>
      <c r="J30" s="77">
        <v>12874375</v>
      </c>
      <c r="K30" s="78">
        <v>13208</v>
      </c>
      <c r="L30" s="78">
        <f t="shared" si="2"/>
        <v>12887583</v>
      </c>
      <c r="M30" s="40">
        <f t="shared" si="3"/>
        <v>0.27575944088862975</v>
      </c>
      <c r="N30" s="105">
        <v>16229401</v>
      </c>
      <c r="O30" s="106">
        <v>0</v>
      </c>
      <c r="P30" s="107">
        <f t="shared" si="4"/>
        <v>16229401</v>
      </c>
      <c r="Q30" s="40">
        <f t="shared" si="5"/>
        <v>0.34726531310932146</v>
      </c>
      <c r="R30" s="105">
        <v>12053334</v>
      </c>
      <c r="S30" s="107">
        <v>327193</v>
      </c>
      <c r="T30" s="107">
        <f t="shared" si="6"/>
        <v>12380527</v>
      </c>
      <c r="U30" s="40">
        <f t="shared" si="7"/>
        <v>0.4207771811168134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41157110</v>
      </c>
      <c r="AA30" s="78">
        <f t="shared" si="11"/>
        <v>340401</v>
      </c>
      <c r="AB30" s="78">
        <f t="shared" si="12"/>
        <v>41497511</v>
      </c>
      <c r="AC30" s="40">
        <f t="shared" si="13"/>
        <v>1.4103766101349284</v>
      </c>
      <c r="AD30" s="77">
        <v>10521043</v>
      </c>
      <c r="AE30" s="78">
        <v>30398</v>
      </c>
      <c r="AF30" s="78">
        <f t="shared" si="14"/>
        <v>10551441</v>
      </c>
      <c r="AG30" s="40">
        <f>IF(42540729=0,0,36334769/42540729)</f>
        <v>0.8541172155277358</v>
      </c>
      <c r="AH30" s="40">
        <f t="shared" si="15"/>
        <v>0.17334940317630543</v>
      </c>
      <c r="AI30" s="12">
        <v>40190000</v>
      </c>
      <c r="AJ30" s="12">
        <v>42540729</v>
      </c>
      <c r="AK30" s="12">
        <v>36334769</v>
      </c>
      <c r="AL30" s="12"/>
    </row>
    <row r="31" spans="1:38" s="56" customFormat="1" ht="12.75">
      <c r="A31" s="61"/>
      <c r="B31" s="62" t="s">
        <v>526</v>
      </c>
      <c r="C31" s="32"/>
      <c r="D31" s="81">
        <f>SUM(D22:D30)</f>
        <v>882323340</v>
      </c>
      <c r="E31" s="82">
        <f>SUM(E22:E30)</f>
        <v>208757041</v>
      </c>
      <c r="F31" s="83">
        <f t="shared" si="0"/>
        <v>1091080381</v>
      </c>
      <c r="G31" s="81">
        <f>SUM(G22:G30)</f>
        <v>853221923</v>
      </c>
      <c r="H31" s="82">
        <f>SUM(H22:H30)</f>
        <v>182097999</v>
      </c>
      <c r="I31" s="83">
        <f t="shared" si="1"/>
        <v>1035319922</v>
      </c>
      <c r="J31" s="81">
        <f>SUM(J22:J30)</f>
        <v>235089638</v>
      </c>
      <c r="K31" s="82">
        <f>SUM(K22:K30)</f>
        <v>20156711</v>
      </c>
      <c r="L31" s="82">
        <f t="shared" si="2"/>
        <v>255246349</v>
      </c>
      <c r="M31" s="44">
        <f t="shared" si="3"/>
        <v>0.23393908775635844</v>
      </c>
      <c r="N31" s="111">
        <f>SUM(N22:N30)</f>
        <v>198260543</v>
      </c>
      <c r="O31" s="112">
        <f>SUM(O22:O30)</f>
        <v>50232908</v>
      </c>
      <c r="P31" s="113">
        <f t="shared" si="4"/>
        <v>248493451</v>
      </c>
      <c r="Q31" s="44">
        <f t="shared" si="5"/>
        <v>0.22774990305686746</v>
      </c>
      <c r="R31" s="111">
        <f>SUM(R22:R30)</f>
        <v>155390959</v>
      </c>
      <c r="S31" s="113">
        <f>SUM(S22:S30)</f>
        <v>37926808</v>
      </c>
      <c r="T31" s="113">
        <f t="shared" si="6"/>
        <v>193317767</v>
      </c>
      <c r="U31" s="44">
        <f t="shared" si="7"/>
        <v>0.18672273457904154</v>
      </c>
      <c r="V31" s="111">
        <f>SUM(V22:V30)</f>
        <v>0</v>
      </c>
      <c r="W31" s="113">
        <f>SUM(W22:W30)</f>
        <v>0</v>
      </c>
      <c r="X31" s="113">
        <f t="shared" si="8"/>
        <v>0</v>
      </c>
      <c r="Y31" s="44">
        <f t="shared" si="9"/>
        <v>0</v>
      </c>
      <c r="Z31" s="81">
        <f t="shared" si="10"/>
        <v>588741140</v>
      </c>
      <c r="AA31" s="82">
        <f t="shared" si="11"/>
        <v>108316427</v>
      </c>
      <c r="AB31" s="82">
        <f t="shared" si="12"/>
        <v>697057567</v>
      </c>
      <c r="AC31" s="44">
        <f t="shared" si="13"/>
        <v>0.6732774596411176</v>
      </c>
      <c r="AD31" s="81">
        <f>SUM(AD22:AD30)</f>
        <v>147424383</v>
      </c>
      <c r="AE31" s="82">
        <f>SUM(AE22:AE30)</f>
        <v>35523518</v>
      </c>
      <c r="AF31" s="82">
        <f t="shared" si="14"/>
        <v>182947901</v>
      </c>
      <c r="AG31" s="44">
        <f>IF(42540729=0,0,36334769/42540729)</f>
        <v>0.8541172155277358</v>
      </c>
      <c r="AH31" s="44">
        <f t="shared" si="15"/>
        <v>0.05668207147126547</v>
      </c>
      <c r="AI31" s="63">
        <f>SUM(AI22:AI30)</f>
        <v>968022273</v>
      </c>
      <c r="AJ31" s="63">
        <f>SUM(AJ22:AJ30)</f>
        <v>932263077</v>
      </c>
      <c r="AK31" s="63">
        <f>SUM(AK22:AK30)</f>
        <v>650451989</v>
      </c>
      <c r="AL31" s="63"/>
    </row>
    <row r="32" spans="1:38" s="13" customFormat="1" ht="12.75">
      <c r="A32" s="29" t="s">
        <v>96</v>
      </c>
      <c r="B32" s="60" t="s">
        <v>527</v>
      </c>
      <c r="C32" s="39" t="s">
        <v>528</v>
      </c>
      <c r="D32" s="77">
        <v>28303880</v>
      </c>
      <c r="E32" s="78">
        <v>6780000</v>
      </c>
      <c r="F32" s="79">
        <f t="shared" si="0"/>
        <v>35083880</v>
      </c>
      <c r="G32" s="77">
        <v>29547225</v>
      </c>
      <c r="H32" s="78">
        <v>7264722</v>
      </c>
      <c r="I32" s="80">
        <f t="shared" si="1"/>
        <v>36811947</v>
      </c>
      <c r="J32" s="77">
        <v>9479586</v>
      </c>
      <c r="K32" s="78">
        <v>552058</v>
      </c>
      <c r="L32" s="78">
        <f t="shared" si="2"/>
        <v>10031644</v>
      </c>
      <c r="M32" s="40">
        <f t="shared" si="3"/>
        <v>0.2859331408042668</v>
      </c>
      <c r="N32" s="105">
        <v>7646733</v>
      </c>
      <c r="O32" s="106">
        <v>4218539</v>
      </c>
      <c r="P32" s="107">
        <f t="shared" si="4"/>
        <v>11865272</v>
      </c>
      <c r="Q32" s="40">
        <f t="shared" si="5"/>
        <v>0.33819725754392044</v>
      </c>
      <c r="R32" s="105">
        <v>6298948</v>
      </c>
      <c r="S32" s="107">
        <v>1517813</v>
      </c>
      <c r="T32" s="107">
        <f t="shared" si="6"/>
        <v>7816761</v>
      </c>
      <c r="U32" s="40">
        <f t="shared" si="7"/>
        <v>0.2123430472177959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23425267</v>
      </c>
      <c r="AA32" s="78">
        <f t="shared" si="11"/>
        <v>6288410</v>
      </c>
      <c r="AB32" s="78">
        <f t="shared" si="12"/>
        <v>29713677</v>
      </c>
      <c r="AC32" s="40">
        <f t="shared" si="13"/>
        <v>0.8071748283240764</v>
      </c>
      <c r="AD32" s="77">
        <v>5893637</v>
      </c>
      <c r="AE32" s="78">
        <v>4539503</v>
      </c>
      <c r="AF32" s="78">
        <f t="shared" si="14"/>
        <v>10433140</v>
      </c>
      <c r="AG32" s="40">
        <f>IF(47539654=0,0,32537984/47539654)</f>
        <v>0.6844388055495734</v>
      </c>
      <c r="AH32" s="40">
        <f t="shared" si="15"/>
        <v>-0.25077579712339715</v>
      </c>
      <c r="AI32" s="12">
        <v>34699233</v>
      </c>
      <c r="AJ32" s="12">
        <v>47539654</v>
      </c>
      <c r="AK32" s="12">
        <v>32537984</v>
      </c>
      <c r="AL32" s="12"/>
    </row>
    <row r="33" spans="1:38" s="13" customFormat="1" ht="12.75">
      <c r="A33" s="29" t="s">
        <v>96</v>
      </c>
      <c r="B33" s="60" t="s">
        <v>529</v>
      </c>
      <c r="C33" s="39" t="s">
        <v>530</v>
      </c>
      <c r="D33" s="77">
        <v>177582275</v>
      </c>
      <c r="E33" s="78">
        <v>21784312</v>
      </c>
      <c r="F33" s="79">
        <f t="shared" si="0"/>
        <v>199366587</v>
      </c>
      <c r="G33" s="77">
        <v>167887309</v>
      </c>
      <c r="H33" s="78">
        <v>23784312</v>
      </c>
      <c r="I33" s="80">
        <f t="shared" si="1"/>
        <v>191671621</v>
      </c>
      <c r="J33" s="77">
        <v>105000928</v>
      </c>
      <c r="K33" s="78">
        <v>1034957</v>
      </c>
      <c r="L33" s="78">
        <f t="shared" si="2"/>
        <v>106035885</v>
      </c>
      <c r="M33" s="40">
        <f t="shared" si="3"/>
        <v>0.5318638724552174</v>
      </c>
      <c r="N33" s="105">
        <v>30683155</v>
      </c>
      <c r="O33" s="106">
        <v>1995222</v>
      </c>
      <c r="P33" s="107">
        <f t="shared" si="4"/>
        <v>32678377</v>
      </c>
      <c r="Q33" s="40">
        <f t="shared" si="5"/>
        <v>0.16391100179690593</v>
      </c>
      <c r="R33" s="105">
        <v>48361495</v>
      </c>
      <c r="S33" s="107">
        <v>10380062</v>
      </c>
      <c r="T33" s="107">
        <f t="shared" si="6"/>
        <v>58741557</v>
      </c>
      <c r="U33" s="40">
        <f t="shared" si="7"/>
        <v>0.30646976685192223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184045578</v>
      </c>
      <c r="AA33" s="78">
        <f t="shared" si="11"/>
        <v>13410241</v>
      </c>
      <c r="AB33" s="78">
        <f t="shared" si="12"/>
        <v>197455819</v>
      </c>
      <c r="AC33" s="40">
        <f t="shared" si="13"/>
        <v>1.0301776442950832</v>
      </c>
      <c r="AD33" s="77">
        <v>37133456</v>
      </c>
      <c r="AE33" s="78">
        <v>1364666</v>
      </c>
      <c r="AF33" s="78">
        <f t="shared" si="14"/>
        <v>38498122</v>
      </c>
      <c r="AG33" s="40">
        <f>IF(196767674=0,0,165098424/196767674)</f>
        <v>0.839052577304949</v>
      </c>
      <c r="AH33" s="40">
        <f t="shared" si="15"/>
        <v>0.5258291560300006</v>
      </c>
      <c r="AI33" s="12">
        <v>210408341</v>
      </c>
      <c r="AJ33" s="12">
        <v>196767674</v>
      </c>
      <c r="AK33" s="12">
        <v>165098424</v>
      </c>
      <c r="AL33" s="12"/>
    </row>
    <row r="34" spans="1:38" s="13" customFormat="1" ht="12.75">
      <c r="A34" s="29" t="s">
        <v>96</v>
      </c>
      <c r="B34" s="60" t="s">
        <v>531</v>
      </c>
      <c r="C34" s="39" t="s">
        <v>532</v>
      </c>
      <c r="D34" s="77">
        <v>592920470</v>
      </c>
      <c r="E34" s="78">
        <v>36251396</v>
      </c>
      <c r="F34" s="79">
        <f t="shared" si="0"/>
        <v>629171866</v>
      </c>
      <c r="G34" s="77">
        <v>600174416</v>
      </c>
      <c r="H34" s="78">
        <v>51098146</v>
      </c>
      <c r="I34" s="80">
        <f t="shared" si="1"/>
        <v>651272562</v>
      </c>
      <c r="J34" s="77">
        <v>150262644</v>
      </c>
      <c r="K34" s="78">
        <v>3044130</v>
      </c>
      <c r="L34" s="78">
        <f t="shared" si="2"/>
        <v>153306774</v>
      </c>
      <c r="M34" s="40">
        <f t="shared" si="3"/>
        <v>0.24366438215786337</v>
      </c>
      <c r="N34" s="105">
        <v>142929000</v>
      </c>
      <c r="O34" s="106">
        <v>2222786</v>
      </c>
      <c r="P34" s="107">
        <f t="shared" si="4"/>
        <v>145151786</v>
      </c>
      <c r="Q34" s="40">
        <f t="shared" si="5"/>
        <v>0.2307029189382095</v>
      </c>
      <c r="R34" s="105">
        <v>143982638</v>
      </c>
      <c r="S34" s="107">
        <v>3269009</v>
      </c>
      <c r="T34" s="107">
        <f t="shared" si="6"/>
        <v>147251647</v>
      </c>
      <c r="U34" s="40">
        <f t="shared" si="7"/>
        <v>0.2260983428317682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437174282</v>
      </c>
      <c r="AA34" s="78">
        <f t="shared" si="11"/>
        <v>8535925</v>
      </c>
      <c r="AB34" s="78">
        <f t="shared" si="12"/>
        <v>445710207</v>
      </c>
      <c r="AC34" s="40">
        <f t="shared" si="13"/>
        <v>0.6843681632023061</v>
      </c>
      <c r="AD34" s="77">
        <v>134620834</v>
      </c>
      <c r="AE34" s="78">
        <v>16055157</v>
      </c>
      <c r="AF34" s="78">
        <f t="shared" si="14"/>
        <v>150675991</v>
      </c>
      <c r="AG34" s="40">
        <f>IF(581280904=0,0,444732327/581280904)</f>
        <v>0.7650902067135513</v>
      </c>
      <c r="AH34" s="40">
        <f t="shared" si="15"/>
        <v>-0.022726540421426522</v>
      </c>
      <c r="AI34" s="12">
        <v>540849629</v>
      </c>
      <c r="AJ34" s="12">
        <v>581280904</v>
      </c>
      <c r="AK34" s="12">
        <v>444732327</v>
      </c>
      <c r="AL34" s="12"/>
    </row>
    <row r="35" spans="1:38" s="13" customFormat="1" ht="12.75">
      <c r="A35" s="29" t="s">
        <v>96</v>
      </c>
      <c r="B35" s="60" t="s">
        <v>533</v>
      </c>
      <c r="C35" s="39" t="s">
        <v>534</v>
      </c>
      <c r="D35" s="77">
        <v>38568710</v>
      </c>
      <c r="E35" s="78">
        <v>16905000</v>
      </c>
      <c r="F35" s="79">
        <f t="shared" si="0"/>
        <v>55473710</v>
      </c>
      <c r="G35" s="77">
        <v>41451265</v>
      </c>
      <c r="H35" s="78">
        <v>16905000</v>
      </c>
      <c r="I35" s="80">
        <f t="shared" si="1"/>
        <v>58356265</v>
      </c>
      <c r="J35" s="77">
        <v>21492117</v>
      </c>
      <c r="K35" s="78">
        <v>4615254</v>
      </c>
      <c r="L35" s="78">
        <f t="shared" si="2"/>
        <v>26107371</v>
      </c>
      <c r="M35" s="40">
        <f t="shared" si="3"/>
        <v>0.47062601365583806</v>
      </c>
      <c r="N35" s="105">
        <v>11229425</v>
      </c>
      <c r="O35" s="106">
        <v>2905738</v>
      </c>
      <c r="P35" s="107">
        <f t="shared" si="4"/>
        <v>14135163</v>
      </c>
      <c r="Q35" s="40">
        <f t="shared" si="5"/>
        <v>0.25480832271719345</v>
      </c>
      <c r="R35" s="105">
        <v>2150761</v>
      </c>
      <c r="S35" s="107">
        <v>4077420</v>
      </c>
      <c r="T35" s="107">
        <f t="shared" si="6"/>
        <v>6228181</v>
      </c>
      <c r="U35" s="40">
        <f t="shared" si="7"/>
        <v>0.10672686128901498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34872303</v>
      </c>
      <c r="AA35" s="78">
        <f t="shared" si="11"/>
        <v>11598412</v>
      </c>
      <c r="AB35" s="78">
        <f t="shared" si="12"/>
        <v>46470715</v>
      </c>
      <c r="AC35" s="40">
        <f t="shared" si="13"/>
        <v>0.7963277807447067</v>
      </c>
      <c r="AD35" s="77">
        <v>3289968</v>
      </c>
      <c r="AE35" s="78">
        <v>885900</v>
      </c>
      <c r="AF35" s="78">
        <f t="shared" si="14"/>
        <v>4175868</v>
      </c>
      <c r="AG35" s="40">
        <f>IF(54781475=0,0,35677732/54781475)</f>
        <v>0.6512736650482668</v>
      </c>
      <c r="AH35" s="40">
        <f t="shared" si="15"/>
        <v>0.49146979741696817</v>
      </c>
      <c r="AI35" s="12">
        <v>56178000</v>
      </c>
      <c r="AJ35" s="12">
        <v>54781475</v>
      </c>
      <c r="AK35" s="12">
        <v>35677732</v>
      </c>
      <c r="AL35" s="12"/>
    </row>
    <row r="36" spans="1:38" s="13" customFormat="1" ht="12.75">
      <c r="A36" s="29" t="s">
        <v>96</v>
      </c>
      <c r="B36" s="60" t="s">
        <v>535</v>
      </c>
      <c r="C36" s="39" t="s">
        <v>536</v>
      </c>
      <c r="D36" s="77">
        <v>209255000</v>
      </c>
      <c r="E36" s="78">
        <v>33150000</v>
      </c>
      <c r="F36" s="79">
        <f t="shared" si="0"/>
        <v>242405000</v>
      </c>
      <c r="G36" s="77">
        <v>168488100</v>
      </c>
      <c r="H36" s="78">
        <v>26517000</v>
      </c>
      <c r="I36" s="80">
        <f t="shared" si="1"/>
        <v>195005100</v>
      </c>
      <c r="J36" s="77">
        <v>54423459</v>
      </c>
      <c r="K36" s="78">
        <v>2879290</v>
      </c>
      <c r="L36" s="78">
        <f t="shared" si="2"/>
        <v>57302749</v>
      </c>
      <c r="M36" s="40">
        <f t="shared" si="3"/>
        <v>0.23639260328788597</v>
      </c>
      <c r="N36" s="105">
        <v>20145552</v>
      </c>
      <c r="O36" s="106">
        <v>6198129</v>
      </c>
      <c r="P36" s="107">
        <f t="shared" si="4"/>
        <v>26343681</v>
      </c>
      <c r="Q36" s="40">
        <f t="shared" si="5"/>
        <v>0.10867631030713062</v>
      </c>
      <c r="R36" s="105">
        <v>39210465</v>
      </c>
      <c r="S36" s="107">
        <v>10800955</v>
      </c>
      <c r="T36" s="107">
        <f t="shared" si="6"/>
        <v>50011420</v>
      </c>
      <c r="U36" s="40">
        <f t="shared" si="7"/>
        <v>0.2564621130421717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113779476</v>
      </c>
      <c r="AA36" s="78">
        <f t="shared" si="11"/>
        <v>19878374</v>
      </c>
      <c r="AB36" s="78">
        <f t="shared" si="12"/>
        <v>133657850</v>
      </c>
      <c r="AC36" s="40">
        <f t="shared" si="13"/>
        <v>0.6854069457670594</v>
      </c>
      <c r="AD36" s="77">
        <v>16730055</v>
      </c>
      <c r="AE36" s="78">
        <v>4842636</v>
      </c>
      <c r="AF36" s="78">
        <f t="shared" si="14"/>
        <v>21572691</v>
      </c>
      <c r="AG36" s="40">
        <f>IF(223574000=0,0,96666224/223574000)</f>
        <v>0.43236791397926416</v>
      </c>
      <c r="AH36" s="40">
        <f t="shared" si="15"/>
        <v>1.3182745258808928</v>
      </c>
      <c r="AI36" s="12">
        <v>221835000</v>
      </c>
      <c r="AJ36" s="12">
        <v>223574000</v>
      </c>
      <c r="AK36" s="12">
        <v>96666224</v>
      </c>
      <c r="AL36" s="12"/>
    </row>
    <row r="37" spans="1:38" s="13" customFormat="1" ht="12.75">
      <c r="A37" s="29" t="s">
        <v>96</v>
      </c>
      <c r="B37" s="60" t="s">
        <v>537</v>
      </c>
      <c r="C37" s="39" t="s">
        <v>538</v>
      </c>
      <c r="D37" s="77">
        <v>75363945</v>
      </c>
      <c r="E37" s="78">
        <v>12707000</v>
      </c>
      <c r="F37" s="79">
        <f t="shared" si="0"/>
        <v>88070945</v>
      </c>
      <c r="G37" s="77">
        <v>75365000</v>
      </c>
      <c r="H37" s="78">
        <v>12707000</v>
      </c>
      <c r="I37" s="80">
        <f t="shared" si="1"/>
        <v>88072000</v>
      </c>
      <c r="J37" s="77">
        <v>39865072</v>
      </c>
      <c r="K37" s="78">
        <v>0</v>
      </c>
      <c r="L37" s="78">
        <f t="shared" si="2"/>
        <v>39865072</v>
      </c>
      <c r="M37" s="40">
        <f t="shared" si="3"/>
        <v>0.4526472606828506</v>
      </c>
      <c r="N37" s="105">
        <v>215610</v>
      </c>
      <c r="O37" s="106">
        <v>3216606</v>
      </c>
      <c r="P37" s="107">
        <f t="shared" si="4"/>
        <v>3432216</v>
      </c>
      <c r="Q37" s="40">
        <f t="shared" si="5"/>
        <v>0.0389710363616514</v>
      </c>
      <c r="R37" s="105">
        <v>3182592</v>
      </c>
      <c r="S37" s="107">
        <v>12825</v>
      </c>
      <c r="T37" s="107">
        <f t="shared" si="6"/>
        <v>3195417</v>
      </c>
      <c r="U37" s="40">
        <f t="shared" si="7"/>
        <v>0.0362818716504678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43263274</v>
      </c>
      <c r="AA37" s="78">
        <f t="shared" si="11"/>
        <v>3229431</v>
      </c>
      <c r="AB37" s="78">
        <f t="shared" si="12"/>
        <v>46492705</v>
      </c>
      <c r="AC37" s="40">
        <f t="shared" si="13"/>
        <v>0.5278942796802616</v>
      </c>
      <c r="AD37" s="77">
        <v>3001963</v>
      </c>
      <c r="AE37" s="78">
        <v>437795</v>
      </c>
      <c r="AF37" s="78">
        <f t="shared" si="14"/>
        <v>3439758</v>
      </c>
      <c r="AG37" s="40">
        <f>IF(82687000=0,0,47972004/82687000)</f>
        <v>0.5801637984205498</v>
      </c>
      <c r="AH37" s="40">
        <f t="shared" si="15"/>
        <v>-0.07103435764957888</v>
      </c>
      <c r="AI37" s="12">
        <v>82386001</v>
      </c>
      <c r="AJ37" s="12">
        <v>82687000</v>
      </c>
      <c r="AK37" s="12">
        <v>47972004</v>
      </c>
      <c r="AL37" s="12"/>
    </row>
    <row r="38" spans="1:38" s="13" customFormat="1" ht="12.75">
      <c r="A38" s="29" t="s">
        <v>115</v>
      </c>
      <c r="B38" s="60" t="s">
        <v>539</v>
      </c>
      <c r="C38" s="39" t="s">
        <v>540</v>
      </c>
      <c r="D38" s="77">
        <v>62534000</v>
      </c>
      <c r="E38" s="78">
        <v>869684</v>
      </c>
      <c r="F38" s="79">
        <f t="shared" si="0"/>
        <v>63403684</v>
      </c>
      <c r="G38" s="77">
        <v>64966500</v>
      </c>
      <c r="H38" s="78">
        <v>602843</v>
      </c>
      <c r="I38" s="80">
        <f t="shared" si="1"/>
        <v>65569343</v>
      </c>
      <c r="J38" s="77">
        <v>23510502</v>
      </c>
      <c r="K38" s="78">
        <v>22006</v>
      </c>
      <c r="L38" s="78">
        <f t="shared" si="2"/>
        <v>23532508</v>
      </c>
      <c r="M38" s="40">
        <f t="shared" si="3"/>
        <v>0.3711536383280189</v>
      </c>
      <c r="N38" s="105">
        <v>21514589</v>
      </c>
      <c r="O38" s="106">
        <v>46822</v>
      </c>
      <c r="P38" s="107">
        <f t="shared" si="4"/>
        <v>21561411</v>
      </c>
      <c r="Q38" s="40">
        <f t="shared" si="5"/>
        <v>0.340065586725213</v>
      </c>
      <c r="R38" s="105">
        <v>14399993</v>
      </c>
      <c r="S38" s="107">
        <v>0</v>
      </c>
      <c r="T38" s="107">
        <f t="shared" si="6"/>
        <v>14399993</v>
      </c>
      <c r="U38" s="40">
        <f t="shared" si="7"/>
        <v>0.2196147214712827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59425084</v>
      </c>
      <c r="AA38" s="78">
        <f t="shared" si="11"/>
        <v>68828</v>
      </c>
      <c r="AB38" s="78">
        <f t="shared" si="12"/>
        <v>59493912</v>
      </c>
      <c r="AC38" s="40">
        <f t="shared" si="13"/>
        <v>0.9073434211472883</v>
      </c>
      <c r="AD38" s="77">
        <v>13125113</v>
      </c>
      <c r="AE38" s="78">
        <v>32949</v>
      </c>
      <c r="AF38" s="78">
        <f t="shared" si="14"/>
        <v>13158062</v>
      </c>
      <c r="AG38" s="40">
        <f>IF(59556000=0,0,51600675/59556000)</f>
        <v>0.866422778561354</v>
      </c>
      <c r="AH38" s="40">
        <f t="shared" si="15"/>
        <v>0.09438555617081001</v>
      </c>
      <c r="AI38" s="12">
        <v>61930000</v>
      </c>
      <c r="AJ38" s="12">
        <v>59556000</v>
      </c>
      <c r="AK38" s="12">
        <v>51600675</v>
      </c>
      <c r="AL38" s="12"/>
    </row>
    <row r="39" spans="1:38" s="56" customFormat="1" ht="12.75">
      <c r="A39" s="61"/>
      <c r="B39" s="62" t="s">
        <v>541</v>
      </c>
      <c r="C39" s="32"/>
      <c r="D39" s="81">
        <f>SUM(D32:D38)</f>
        <v>1184528280</v>
      </c>
      <c r="E39" s="82">
        <f>SUM(E32:E38)</f>
        <v>128447392</v>
      </c>
      <c r="F39" s="90">
        <f t="shared" si="0"/>
        <v>1312975672</v>
      </c>
      <c r="G39" s="81">
        <f>SUM(G32:G38)</f>
        <v>1147879815</v>
      </c>
      <c r="H39" s="82">
        <f>SUM(H32:H38)</f>
        <v>138879023</v>
      </c>
      <c r="I39" s="83">
        <f t="shared" si="1"/>
        <v>1286758838</v>
      </c>
      <c r="J39" s="81">
        <f>SUM(J32:J38)</f>
        <v>404034308</v>
      </c>
      <c r="K39" s="82">
        <f>SUM(K32:K38)</f>
        <v>12147695</v>
      </c>
      <c r="L39" s="82">
        <f t="shared" si="2"/>
        <v>416182003</v>
      </c>
      <c r="M39" s="44">
        <f t="shared" si="3"/>
        <v>0.31697617242675</v>
      </c>
      <c r="N39" s="111">
        <f>SUM(N32:N38)</f>
        <v>234364064</v>
      </c>
      <c r="O39" s="112">
        <f>SUM(O32:O38)</f>
        <v>20803842</v>
      </c>
      <c r="P39" s="113">
        <f t="shared" si="4"/>
        <v>255167906</v>
      </c>
      <c r="Q39" s="44">
        <f t="shared" si="5"/>
        <v>0.19434320943000685</v>
      </c>
      <c r="R39" s="111">
        <f>SUM(R32:R38)</f>
        <v>257586892</v>
      </c>
      <c r="S39" s="113">
        <f>SUM(S32:S38)</f>
        <v>30058084</v>
      </c>
      <c r="T39" s="113">
        <f t="shared" si="6"/>
        <v>287644976</v>
      </c>
      <c r="U39" s="44">
        <f t="shared" si="7"/>
        <v>0.22354225788500082</v>
      </c>
      <c r="V39" s="111">
        <f>SUM(V32:V38)</f>
        <v>0</v>
      </c>
      <c r="W39" s="113">
        <f>SUM(W32:W38)</f>
        <v>0</v>
      </c>
      <c r="X39" s="113">
        <f t="shared" si="8"/>
        <v>0</v>
      </c>
      <c r="Y39" s="44">
        <f t="shared" si="9"/>
        <v>0</v>
      </c>
      <c r="Z39" s="81">
        <f t="shared" si="10"/>
        <v>895985264</v>
      </c>
      <c r="AA39" s="82">
        <f t="shared" si="11"/>
        <v>63009621</v>
      </c>
      <c r="AB39" s="82">
        <f t="shared" si="12"/>
        <v>958994885</v>
      </c>
      <c r="AC39" s="44">
        <f t="shared" si="13"/>
        <v>0.7452794235247366</v>
      </c>
      <c r="AD39" s="81">
        <f>SUM(AD32:AD38)</f>
        <v>213795026</v>
      </c>
      <c r="AE39" s="82">
        <f>SUM(AE32:AE38)</f>
        <v>28158606</v>
      </c>
      <c r="AF39" s="82">
        <f t="shared" si="14"/>
        <v>241953632</v>
      </c>
      <c r="AG39" s="44">
        <f>IF(59556000=0,0,51600675/59556000)</f>
        <v>0.866422778561354</v>
      </c>
      <c r="AH39" s="44">
        <f t="shared" si="15"/>
        <v>0.18884338962929892</v>
      </c>
      <c r="AI39" s="63">
        <f>SUM(AI32:AI38)</f>
        <v>1208286204</v>
      </c>
      <c r="AJ39" s="63">
        <f>SUM(AJ32:AJ38)</f>
        <v>1246186707</v>
      </c>
      <c r="AK39" s="63">
        <f>SUM(AK32:AK38)</f>
        <v>874285370</v>
      </c>
      <c r="AL39" s="63"/>
    </row>
    <row r="40" spans="1:38" s="13" customFormat="1" ht="12.75">
      <c r="A40" s="29" t="s">
        <v>96</v>
      </c>
      <c r="B40" s="60" t="s">
        <v>84</v>
      </c>
      <c r="C40" s="39" t="s">
        <v>85</v>
      </c>
      <c r="D40" s="77">
        <v>1749220508</v>
      </c>
      <c r="E40" s="78">
        <v>111708601</v>
      </c>
      <c r="F40" s="79">
        <f t="shared" si="0"/>
        <v>1860929109</v>
      </c>
      <c r="G40" s="77">
        <v>1794620291</v>
      </c>
      <c r="H40" s="78">
        <v>201018000</v>
      </c>
      <c r="I40" s="80">
        <f t="shared" si="1"/>
        <v>1995638291</v>
      </c>
      <c r="J40" s="77">
        <v>612746482</v>
      </c>
      <c r="K40" s="78">
        <v>20670891</v>
      </c>
      <c r="L40" s="78">
        <f t="shared" si="2"/>
        <v>633417373</v>
      </c>
      <c r="M40" s="40">
        <f t="shared" si="3"/>
        <v>0.3403769493080674</v>
      </c>
      <c r="N40" s="105">
        <v>389597478</v>
      </c>
      <c r="O40" s="106">
        <v>37167344</v>
      </c>
      <c r="P40" s="107">
        <f t="shared" si="4"/>
        <v>426764822</v>
      </c>
      <c r="Q40" s="40">
        <f t="shared" si="5"/>
        <v>0.2293288980950644</v>
      </c>
      <c r="R40" s="105">
        <v>431010770</v>
      </c>
      <c r="S40" s="107">
        <v>23126646</v>
      </c>
      <c r="T40" s="107">
        <f t="shared" si="6"/>
        <v>454137416</v>
      </c>
      <c r="U40" s="40">
        <f t="shared" si="7"/>
        <v>0.22756499414151599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1433354730</v>
      </c>
      <c r="AA40" s="78">
        <f t="shared" si="11"/>
        <v>80964881</v>
      </c>
      <c r="AB40" s="78">
        <f t="shared" si="12"/>
        <v>1514319611</v>
      </c>
      <c r="AC40" s="40">
        <f t="shared" si="13"/>
        <v>0.7588146698874901</v>
      </c>
      <c r="AD40" s="77">
        <v>388878462</v>
      </c>
      <c r="AE40" s="78">
        <v>26949098</v>
      </c>
      <c r="AF40" s="78">
        <f t="shared" si="14"/>
        <v>415827560</v>
      </c>
      <c r="AG40" s="40">
        <f>IF(1926122032=0,0,1414644372/1926122032)</f>
        <v>0.7344521003848836</v>
      </c>
      <c r="AH40" s="40">
        <f t="shared" si="15"/>
        <v>0.09212918932068859</v>
      </c>
      <c r="AI40" s="12">
        <v>1779591977</v>
      </c>
      <c r="AJ40" s="12">
        <v>1926122032</v>
      </c>
      <c r="AK40" s="12">
        <v>1414644372</v>
      </c>
      <c r="AL40" s="12"/>
    </row>
    <row r="41" spans="1:38" s="13" customFormat="1" ht="12.75">
      <c r="A41" s="29" t="s">
        <v>96</v>
      </c>
      <c r="B41" s="60" t="s">
        <v>542</v>
      </c>
      <c r="C41" s="39" t="s">
        <v>543</v>
      </c>
      <c r="D41" s="77">
        <v>162075500</v>
      </c>
      <c r="E41" s="78">
        <v>40974000</v>
      </c>
      <c r="F41" s="79">
        <f t="shared" si="0"/>
        <v>203049500</v>
      </c>
      <c r="G41" s="77">
        <v>162075500</v>
      </c>
      <c r="H41" s="78">
        <v>40974000</v>
      </c>
      <c r="I41" s="80">
        <f t="shared" si="1"/>
        <v>203049500</v>
      </c>
      <c r="J41" s="77">
        <v>51790879</v>
      </c>
      <c r="K41" s="78">
        <v>0</v>
      </c>
      <c r="L41" s="78">
        <f t="shared" si="2"/>
        <v>51790879</v>
      </c>
      <c r="M41" s="40">
        <f t="shared" si="3"/>
        <v>0.2550652870359198</v>
      </c>
      <c r="N41" s="105">
        <v>4788719</v>
      </c>
      <c r="O41" s="106">
        <v>3102459</v>
      </c>
      <c r="P41" s="107">
        <f t="shared" si="4"/>
        <v>7891178</v>
      </c>
      <c r="Q41" s="40">
        <f t="shared" si="5"/>
        <v>0.03886332150534722</v>
      </c>
      <c r="R41" s="105">
        <v>1512725</v>
      </c>
      <c r="S41" s="107">
        <v>4274700</v>
      </c>
      <c r="T41" s="107">
        <f t="shared" si="6"/>
        <v>5787425</v>
      </c>
      <c r="U41" s="40">
        <f t="shared" si="7"/>
        <v>0.028502532633668146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58092323</v>
      </c>
      <c r="AA41" s="78">
        <f t="shared" si="11"/>
        <v>7377159</v>
      </c>
      <c r="AB41" s="78">
        <f t="shared" si="12"/>
        <v>65469482</v>
      </c>
      <c r="AC41" s="40">
        <f t="shared" si="13"/>
        <v>0.32243114117493515</v>
      </c>
      <c r="AD41" s="77">
        <v>15133810</v>
      </c>
      <c r="AE41" s="78">
        <v>2327790</v>
      </c>
      <c r="AF41" s="78">
        <f t="shared" si="14"/>
        <v>17461600</v>
      </c>
      <c r="AG41" s="40">
        <f>IF(140243550=0,0,101630262/140243550)</f>
        <v>0.72466977625709</v>
      </c>
      <c r="AH41" s="40">
        <f t="shared" si="15"/>
        <v>-0.6685627319375086</v>
      </c>
      <c r="AI41" s="12">
        <v>134039550</v>
      </c>
      <c r="AJ41" s="12">
        <v>140243550</v>
      </c>
      <c r="AK41" s="12">
        <v>101630262</v>
      </c>
      <c r="AL41" s="12"/>
    </row>
    <row r="42" spans="1:38" s="13" customFormat="1" ht="12.75">
      <c r="A42" s="29" t="s">
        <v>96</v>
      </c>
      <c r="B42" s="60" t="s">
        <v>544</v>
      </c>
      <c r="C42" s="39" t="s">
        <v>545</v>
      </c>
      <c r="D42" s="77">
        <v>91827494</v>
      </c>
      <c r="E42" s="78">
        <v>13939000</v>
      </c>
      <c r="F42" s="79">
        <f t="shared" si="0"/>
        <v>105766494</v>
      </c>
      <c r="G42" s="77">
        <v>91827494</v>
      </c>
      <c r="H42" s="78">
        <v>13939000</v>
      </c>
      <c r="I42" s="80">
        <f t="shared" si="1"/>
        <v>105766494</v>
      </c>
      <c r="J42" s="77">
        <v>24330178</v>
      </c>
      <c r="K42" s="78">
        <v>54076</v>
      </c>
      <c r="L42" s="78">
        <f t="shared" si="2"/>
        <v>24384254</v>
      </c>
      <c r="M42" s="40">
        <f t="shared" si="3"/>
        <v>0.2305480032268064</v>
      </c>
      <c r="N42" s="105">
        <v>12825809</v>
      </c>
      <c r="O42" s="106">
        <v>431188</v>
      </c>
      <c r="P42" s="107">
        <f t="shared" si="4"/>
        <v>13256997</v>
      </c>
      <c r="Q42" s="40">
        <f t="shared" si="5"/>
        <v>0.12534212394333502</v>
      </c>
      <c r="R42" s="105">
        <v>23799295</v>
      </c>
      <c r="S42" s="107">
        <v>5287040</v>
      </c>
      <c r="T42" s="107">
        <f t="shared" si="6"/>
        <v>29086335</v>
      </c>
      <c r="U42" s="40">
        <f t="shared" si="7"/>
        <v>0.2750051920979814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60955282</v>
      </c>
      <c r="AA42" s="78">
        <f t="shared" si="11"/>
        <v>5772304</v>
      </c>
      <c r="AB42" s="78">
        <f t="shared" si="12"/>
        <v>66727586</v>
      </c>
      <c r="AC42" s="40">
        <f t="shared" si="13"/>
        <v>0.6308953192681228</v>
      </c>
      <c r="AD42" s="77">
        <v>7169582</v>
      </c>
      <c r="AE42" s="78">
        <v>3280241</v>
      </c>
      <c r="AF42" s="78">
        <f t="shared" si="14"/>
        <v>10449823</v>
      </c>
      <c r="AG42" s="40">
        <f>IF(98117587=0,0,64490221/98117587)</f>
        <v>0.6572748369769835</v>
      </c>
      <c r="AH42" s="40">
        <f t="shared" si="15"/>
        <v>1.783428484865246</v>
      </c>
      <c r="AI42" s="12">
        <v>108602050</v>
      </c>
      <c r="AJ42" s="12">
        <v>98117587</v>
      </c>
      <c r="AK42" s="12">
        <v>64490221</v>
      </c>
      <c r="AL42" s="12"/>
    </row>
    <row r="43" spans="1:38" s="13" customFormat="1" ht="12.75">
      <c r="A43" s="29" t="s">
        <v>96</v>
      </c>
      <c r="B43" s="60" t="s">
        <v>546</v>
      </c>
      <c r="C43" s="39" t="s">
        <v>547</v>
      </c>
      <c r="D43" s="77">
        <v>242916387</v>
      </c>
      <c r="E43" s="78">
        <v>55282005</v>
      </c>
      <c r="F43" s="80">
        <f t="shared" si="0"/>
        <v>298198392</v>
      </c>
      <c r="G43" s="77">
        <v>259904573</v>
      </c>
      <c r="H43" s="78">
        <v>67000147</v>
      </c>
      <c r="I43" s="79">
        <f t="shared" si="1"/>
        <v>326904720</v>
      </c>
      <c r="J43" s="77">
        <v>70669453</v>
      </c>
      <c r="K43" s="91">
        <v>15137668</v>
      </c>
      <c r="L43" s="78">
        <f t="shared" si="2"/>
        <v>85807121</v>
      </c>
      <c r="M43" s="40">
        <f t="shared" si="3"/>
        <v>0.2877517897547885</v>
      </c>
      <c r="N43" s="105">
        <v>63218036</v>
      </c>
      <c r="O43" s="106">
        <v>14233850</v>
      </c>
      <c r="P43" s="107">
        <f t="shared" si="4"/>
        <v>77451886</v>
      </c>
      <c r="Q43" s="40">
        <f t="shared" si="5"/>
        <v>0.2597327419525455</v>
      </c>
      <c r="R43" s="105">
        <v>60881578</v>
      </c>
      <c r="S43" s="107">
        <v>10881396</v>
      </c>
      <c r="T43" s="107">
        <f t="shared" si="6"/>
        <v>71762974</v>
      </c>
      <c r="U43" s="40">
        <f t="shared" si="7"/>
        <v>0.21952259973487076</v>
      </c>
      <c r="V43" s="105">
        <v>0</v>
      </c>
      <c r="W43" s="107">
        <v>0</v>
      </c>
      <c r="X43" s="107">
        <f t="shared" si="8"/>
        <v>0</v>
      </c>
      <c r="Y43" s="40">
        <f t="shared" si="9"/>
        <v>0</v>
      </c>
      <c r="Z43" s="77">
        <f t="shared" si="10"/>
        <v>194769067</v>
      </c>
      <c r="AA43" s="78">
        <f t="shared" si="11"/>
        <v>40252914</v>
      </c>
      <c r="AB43" s="78">
        <f t="shared" si="12"/>
        <v>235021981</v>
      </c>
      <c r="AC43" s="40">
        <f t="shared" si="13"/>
        <v>0.7189311338178292</v>
      </c>
      <c r="AD43" s="77">
        <v>27302563</v>
      </c>
      <c r="AE43" s="78">
        <v>8145340</v>
      </c>
      <c r="AF43" s="78">
        <f t="shared" si="14"/>
        <v>35447903</v>
      </c>
      <c r="AG43" s="40">
        <f>IF(264216315=0,0,181696909/264216315)</f>
        <v>0.68768239765966</v>
      </c>
      <c r="AH43" s="40">
        <f t="shared" si="15"/>
        <v>1.024463167821239</v>
      </c>
      <c r="AI43" s="12">
        <v>302241278</v>
      </c>
      <c r="AJ43" s="12">
        <v>264216315</v>
      </c>
      <c r="AK43" s="12">
        <v>181696909</v>
      </c>
      <c r="AL43" s="12"/>
    </row>
    <row r="44" spans="1:38" s="13" customFormat="1" ht="12.75">
      <c r="A44" s="29" t="s">
        <v>115</v>
      </c>
      <c r="B44" s="60" t="s">
        <v>548</v>
      </c>
      <c r="C44" s="39" t="s">
        <v>549</v>
      </c>
      <c r="D44" s="77">
        <v>117137150</v>
      </c>
      <c r="E44" s="78">
        <v>13555171</v>
      </c>
      <c r="F44" s="80">
        <f t="shared" si="0"/>
        <v>130692321</v>
      </c>
      <c r="G44" s="77">
        <v>124392796</v>
      </c>
      <c r="H44" s="78">
        <v>11534417</v>
      </c>
      <c r="I44" s="79">
        <f t="shared" si="1"/>
        <v>135927213</v>
      </c>
      <c r="J44" s="77">
        <v>42865954</v>
      </c>
      <c r="K44" s="91">
        <v>154489</v>
      </c>
      <c r="L44" s="78">
        <f t="shared" si="2"/>
        <v>43020443</v>
      </c>
      <c r="M44" s="40">
        <f t="shared" si="3"/>
        <v>0.32917345618186705</v>
      </c>
      <c r="N44" s="105">
        <v>35130442</v>
      </c>
      <c r="O44" s="106">
        <v>941295</v>
      </c>
      <c r="P44" s="107">
        <f t="shared" si="4"/>
        <v>36071737</v>
      </c>
      <c r="Q44" s="40">
        <f t="shared" si="5"/>
        <v>0.27600502251390885</v>
      </c>
      <c r="R44" s="105">
        <v>-4835104</v>
      </c>
      <c r="S44" s="107">
        <v>1863385</v>
      </c>
      <c r="T44" s="107">
        <f t="shared" si="6"/>
        <v>-2971719</v>
      </c>
      <c r="U44" s="40">
        <f t="shared" si="7"/>
        <v>-0.021862575818427175</v>
      </c>
      <c r="V44" s="105">
        <v>0</v>
      </c>
      <c r="W44" s="107">
        <v>0</v>
      </c>
      <c r="X44" s="107">
        <f t="shared" si="8"/>
        <v>0</v>
      </c>
      <c r="Y44" s="40">
        <f t="shared" si="9"/>
        <v>0</v>
      </c>
      <c r="Z44" s="77">
        <f t="shared" si="10"/>
        <v>73161292</v>
      </c>
      <c r="AA44" s="78">
        <f t="shared" si="11"/>
        <v>2959169</v>
      </c>
      <c r="AB44" s="78">
        <f t="shared" si="12"/>
        <v>76120461</v>
      </c>
      <c r="AC44" s="40">
        <f t="shared" si="13"/>
        <v>0.560008988045683</v>
      </c>
      <c r="AD44" s="77">
        <v>4002516</v>
      </c>
      <c r="AE44" s="78">
        <v>352637</v>
      </c>
      <c r="AF44" s="78">
        <f t="shared" si="14"/>
        <v>4355153</v>
      </c>
      <c r="AG44" s="40">
        <f>IF(113139080=0,0,73733004/113139080)</f>
        <v>0.6517023472349254</v>
      </c>
      <c r="AH44" s="40">
        <f t="shared" si="15"/>
        <v>-1.682345488206729</v>
      </c>
      <c r="AI44" s="12">
        <v>113332080</v>
      </c>
      <c r="AJ44" s="12">
        <v>113139080</v>
      </c>
      <c r="AK44" s="12">
        <v>73733004</v>
      </c>
      <c r="AL44" s="12"/>
    </row>
    <row r="45" spans="1:38" s="56" customFormat="1" ht="12.75">
      <c r="A45" s="61"/>
      <c r="B45" s="62" t="s">
        <v>550</v>
      </c>
      <c r="C45" s="32"/>
      <c r="D45" s="81">
        <f>SUM(D40:D44)</f>
        <v>2363177039</v>
      </c>
      <c r="E45" s="82">
        <f>SUM(E40:E44)</f>
        <v>235458777</v>
      </c>
      <c r="F45" s="90">
        <f t="shared" si="0"/>
        <v>2598635816</v>
      </c>
      <c r="G45" s="81">
        <f>SUM(G40:G44)</f>
        <v>2432820654</v>
      </c>
      <c r="H45" s="82">
        <f>SUM(H40:H44)</f>
        <v>334465564</v>
      </c>
      <c r="I45" s="83">
        <f t="shared" si="1"/>
        <v>2767286218</v>
      </c>
      <c r="J45" s="81">
        <f>SUM(J40:J44)</f>
        <v>802402946</v>
      </c>
      <c r="K45" s="82">
        <f>SUM(K40:K44)</f>
        <v>36017124</v>
      </c>
      <c r="L45" s="82">
        <f t="shared" si="2"/>
        <v>838420070</v>
      </c>
      <c r="M45" s="44">
        <f t="shared" si="3"/>
        <v>0.3226385416678179</v>
      </c>
      <c r="N45" s="111">
        <f>SUM(N40:N44)</f>
        <v>505560484</v>
      </c>
      <c r="O45" s="112">
        <f>SUM(O40:O44)</f>
        <v>55876136</v>
      </c>
      <c r="P45" s="113">
        <f t="shared" si="4"/>
        <v>561436620</v>
      </c>
      <c r="Q45" s="44">
        <f t="shared" si="5"/>
        <v>0.21605052025497057</v>
      </c>
      <c r="R45" s="111">
        <f>SUM(R40:R44)</f>
        <v>512369264</v>
      </c>
      <c r="S45" s="113">
        <f>SUM(S40:S44)</f>
        <v>45433167</v>
      </c>
      <c r="T45" s="113">
        <f t="shared" si="6"/>
        <v>557802431</v>
      </c>
      <c r="U45" s="44">
        <f t="shared" si="7"/>
        <v>0.20157019804158183</v>
      </c>
      <c r="V45" s="111">
        <f>SUM(V40:V44)</f>
        <v>0</v>
      </c>
      <c r="W45" s="113">
        <f>SUM(W40:W44)</f>
        <v>0</v>
      </c>
      <c r="X45" s="113">
        <f t="shared" si="8"/>
        <v>0</v>
      </c>
      <c r="Y45" s="44">
        <f t="shared" si="9"/>
        <v>0</v>
      </c>
      <c r="Z45" s="81">
        <f t="shared" si="10"/>
        <v>1820332694</v>
      </c>
      <c r="AA45" s="82">
        <f t="shared" si="11"/>
        <v>137326427</v>
      </c>
      <c r="AB45" s="82">
        <f t="shared" si="12"/>
        <v>1957659121</v>
      </c>
      <c r="AC45" s="44">
        <f t="shared" si="13"/>
        <v>0.707429216488802</v>
      </c>
      <c r="AD45" s="81">
        <f>SUM(AD40:AD44)</f>
        <v>442486933</v>
      </c>
      <c r="AE45" s="82">
        <f>SUM(AE40:AE44)</f>
        <v>41055106</v>
      </c>
      <c r="AF45" s="82">
        <f t="shared" si="14"/>
        <v>483542039</v>
      </c>
      <c r="AG45" s="44">
        <f>IF(113139080=0,0,73733004/113139080)</f>
        <v>0.6517023472349254</v>
      </c>
      <c r="AH45" s="44">
        <f t="shared" si="15"/>
        <v>0.15357587554036845</v>
      </c>
      <c r="AI45" s="63">
        <f>SUM(AI40:AI44)</f>
        <v>2437806935</v>
      </c>
      <c r="AJ45" s="63">
        <f>SUM(AJ40:AJ44)</f>
        <v>2541838564</v>
      </c>
      <c r="AK45" s="63">
        <f>SUM(AK40:AK44)</f>
        <v>1836194768</v>
      </c>
      <c r="AL45" s="63"/>
    </row>
    <row r="46" spans="1:38" s="56" customFormat="1" ht="12.75">
      <c r="A46" s="61"/>
      <c r="B46" s="62" t="s">
        <v>551</v>
      </c>
      <c r="C46" s="32"/>
      <c r="D46" s="81">
        <f>SUM(D9:D12,D14:D20,D22:D30,D32:D38,D40:D44)</f>
        <v>6318648461</v>
      </c>
      <c r="E46" s="82">
        <f>SUM(E9:E12,E14:E20,E22:E30,E32:E38,E40:E44)</f>
        <v>1288637872</v>
      </c>
      <c r="F46" s="90">
        <f t="shared" si="0"/>
        <v>7607286333</v>
      </c>
      <c r="G46" s="81">
        <f>SUM(G9:G12,G14:G20,G22:G30,G32:G38,G40:G44)</f>
        <v>6191197853</v>
      </c>
      <c r="H46" s="82">
        <f>SUM(H9:H12,H14:H20,H22:H30,H32:H38,H40:H44)</f>
        <v>1112146468</v>
      </c>
      <c r="I46" s="83">
        <f t="shared" si="1"/>
        <v>7303344321</v>
      </c>
      <c r="J46" s="81">
        <f>SUM(J9:J12,J14:J20,J22:J30,J32:J38,J40:J44)</f>
        <v>2122480810</v>
      </c>
      <c r="K46" s="82">
        <f>SUM(K9:K12,K14:K20,K22:K30,K32:K38,K40:K44)</f>
        <v>132884950</v>
      </c>
      <c r="L46" s="82">
        <f t="shared" si="2"/>
        <v>2255365760</v>
      </c>
      <c r="M46" s="44">
        <f t="shared" si="3"/>
        <v>0.29647441430150256</v>
      </c>
      <c r="N46" s="111">
        <f>SUM(N9:N12,N14:N20,N22:N30,N32:N38,N40:N44)</f>
        <v>1254665596</v>
      </c>
      <c r="O46" s="112">
        <f>SUM(O9:O12,O14:O20,O22:O30,O32:O38,O40:O44)</f>
        <v>237186025</v>
      </c>
      <c r="P46" s="113">
        <f t="shared" si="4"/>
        <v>1491851621</v>
      </c>
      <c r="Q46" s="44">
        <f t="shared" si="5"/>
        <v>0.1961082514442013</v>
      </c>
      <c r="R46" s="111">
        <f>SUM(R9:R12,R14:R20,R22:R30,R32:R38,R40:R44)</f>
        <v>1262571014</v>
      </c>
      <c r="S46" s="113">
        <f>SUM(S9:S12,S14:S20,S22:S30,S32:S38,S40:S44)</f>
        <v>187035074</v>
      </c>
      <c r="T46" s="113">
        <f t="shared" si="6"/>
        <v>1449606088</v>
      </c>
      <c r="U46" s="44">
        <f t="shared" si="7"/>
        <v>0.19848524515430688</v>
      </c>
      <c r="V46" s="111">
        <f>SUM(V9:V12,V14:V20,V22:V30,V32:V38,V40:V44)</f>
        <v>0</v>
      </c>
      <c r="W46" s="113">
        <f>SUM(W9:W12,W14:W20,W22:W30,W32:W38,W40:W44)</f>
        <v>0</v>
      </c>
      <c r="X46" s="113">
        <f t="shared" si="8"/>
        <v>0</v>
      </c>
      <c r="Y46" s="44">
        <f t="shared" si="9"/>
        <v>0</v>
      </c>
      <c r="Z46" s="81">
        <f t="shared" si="10"/>
        <v>4639717420</v>
      </c>
      <c r="AA46" s="82">
        <f t="shared" si="11"/>
        <v>557106049</v>
      </c>
      <c r="AB46" s="82">
        <f t="shared" si="12"/>
        <v>5196823469</v>
      </c>
      <c r="AC46" s="44">
        <f t="shared" si="13"/>
        <v>0.7115676381376514</v>
      </c>
      <c r="AD46" s="81">
        <f>SUM(AD9:AD12,AD14:AD20,AD22:AD30,AD32:AD38,AD40:AD44)</f>
        <v>1238877667</v>
      </c>
      <c r="AE46" s="82">
        <f>SUM(AE9:AE12,AE14:AE20,AE22:AE30,AE32:AE38,AE40:AE44)</f>
        <v>161980817</v>
      </c>
      <c r="AF46" s="82">
        <f t="shared" si="14"/>
        <v>1400858484</v>
      </c>
      <c r="AG46" s="44">
        <f>IF(113139080=0,0,73733004/113139080)</f>
        <v>0.6517023472349254</v>
      </c>
      <c r="AH46" s="44">
        <f t="shared" si="15"/>
        <v>0.03479837867762803</v>
      </c>
      <c r="AI46" s="63">
        <f>SUM(AI9:AI12,AI14:AI20,AI22:AI30,AI32:AI38,AI40:AI44)</f>
        <v>7080819151</v>
      </c>
      <c r="AJ46" s="63">
        <f>SUM(AJ9:AJ12,AJ14:AJ20,AJ22:AJ30,AJ32:AJ38,AJ40:AJ44)</f>
        <v>6916309118</v>
      </c>
      <c r="AK46" s="63">
        <f>SUM(AK9:AK12,AK14:AK20,AK22:AK30,AK32:AK38,AK40:AK44)</f>
        <v>5062808974</v>
      </c>
      <c r="AL46" s="63"/>
    </row>
    <row r="47" spans="1:38" s="13" customFormat="1" ht="12.75">
      <c r="A47" s="64"/>
      <c r="B47" s="65"/>
      <c r="C47" s="66"/>
      <c r="D47" s="93"/>
      <c r="E47" s="93"/>
      <c r="F47" s="94"/>
      <c r="G47" s="95"/>
      <c r="H47" s="93"/>
      <c r="I47" s="96"/>
      <c r="J47" s="95"/>
      <c r="K47" s="97"/>
      <c r="L47" s="93"/>
      <c r="M47" s="70"/>
      <c r="N47" s="95"/>
      <c r="O47" s="97"/>
      <c r="P47" s="93"/>
      <c r="Q47" s="70"/>
      <c r="R47" s="95"/>
      <c r="S47" s="97"/>
      <c r="T47" s="93"/>
      <c r="U47" s="70"/>
      <c r="V47" s="95"/>
      <c r="W47" s="97"/>
      <c r="X47" s="93"/>
      <c r="Y47" s="70"/>
      <c r="Z47" s="95"/>
      <c r="AA47" s="97"/>
      <c r="AB47" s="93"/>
      <c r="AC47" s="70"/>
      <c r="AD47" s="95"/>
      <c r="AE47" s="93"/>
      <c r="AF47" s="93"/>
      <c r="AG47" s="70"/>
      <c r="AH47" s="70"/>
      <c r="AI47" s="12"/>
      <c r="AJ47" s="12"/>
      <c r="AK47" s="12"/>
      <c r="AL47" s="12"/>
    </row>
    <row r="48" spans="1:38" s="73" customFormat="1" ht="12" customHeight="1">
      <c r="A48" s="75"/>
      <c r="B48" s="75"/>
      <c r="C48" s="75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3" customFormat="1" ht="12.75">
      <c r="A49" s="75"/>
      <c r="B49" s="75"/>
      <c r="C49" s="75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3" customFormat="1" ht="12.75">
      <c r="A50" s="75"/>
      <c r="B50" s="75"/>
      <c r="C50" s="75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74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74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74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74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74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74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74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74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74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74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74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74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74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74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74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74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74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74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74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74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74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74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74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74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74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74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74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74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74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74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74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74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74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74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0" t="s">
        <v>552</v>
      </c>
      <c r="C9" s="39" t="s">
        <v>553</v>
      </c>
      <c r="D9" s="77">
        <v>355957322</v>
      </c>
      <c r="E9" s="78">
        <v>124214801</v>
      </c>
      <c r="F9" s="79">
        <f>$D9+$E9</f>
        <v>480172123</v>
      </c>
      <c r="G9" s="77">
        <v>355957322</v>
      </c>
      <c r="H9" s="78">
        <v>124214801</v>
      </c>
      <c r="I9" s="80">
        <f>$G9+$H9</f>
        <v>480172123</v>
      </c>
      <c r="J9" s="77">
        <v>137252270</v>
      </c>
      <c r="K9" s="78">
        <v>23422935</v>
      </c>
      <c r="L9" s="78">
        <f>$J9+$K9</f>
        <v>160675205</v>
      </c>
      <c r="M9" s="40">
        <f>IF($F9=0,0,$L9/$F9)</f>
        <v>0.3346200191634199</v>
      </c>
      <c r="N9" s="105">
        <v>27324109</v>
      </c>
      <c r="O9" s="106">
        <v>79089080</v>
      </c>
      <c r="P9" s="107">
        <f>$N9+$O9</f>
        <v>106413189</v>
      </c>
      <c r="Q9" s="40">
        <f>IF($F9=0,0,$P9/$F9)</f>
        <v>0.22161467503601828</v>
      </c>
      <c r="R9" s="105">
        <v>98761485</v>
      </c>
      <c r="S9" s="107">
        <v>54705869</v>
      </c>
      <c r="T9" s="107">
        <f>$R9+$S9</f>
        <v>153467354</v>
      </c>
      <c r="U9" s="40">
        <f>IF($I9=0,0,$T9/$I9)</f>
        <v>0.3196090456921424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263337864</v>
      </c>
      <c r="AA9" s="78">
        <f>$K9+$O9+$S9</f>
        <v>157217884</v>
      </c>
      <c r="AB9" s="78">
        <f>$Z9+$AA9</f>
        <v>420555748</v>
      </c>
      <c r="AC9" s="40">
        <f>IF($I9=0,0,$AB9/$I9)</f>
        <v>0.8758437398915805</v>
      </c>
      <c r="AD9" s="77">
        <v>98963612</v>
      </c>
      <c r="AE9" s="78">
        <v>19039493</v>
      </c>
      <c r="AF9" s="78">
        <f>$AD9+$AE9</f>
        <v>118003105</v>
      </c>
      <c r="AG9" s="40">
        <f>IF(465728373=0,0,417622023/465728373)</f>
        <v>0.8967072809197304</v>
      </c>
      <c r="AH9" s="40">
        <f>IF($AF9=0,0,(($T9/$AF9)-1))</f>
        <v>0.30053657486385643</v>
      </c>
      <c r="AI9" s="12">
        <v>415093950</v>
      </c>
      <c r="AJ9" s="12">
        <v>465728373</v>
      </c>
      <c r="AK9" s="12">
        <v>417622023</v>
      </c>
      <c r="AL9" s="12"/>
    </row>
    <row r="10" spans="1:38" s="13" customFormat="1" ht="12.75">
      <c r="A10" s="29" t="s">
        <v>96</v>
      </c>
      <c r="B10" s="60" t="s">
        <v>68</v>
      </c>
      <c r="C10" s="39" t="s">
        <v>69</v>
      </c>
      <c r="D10" s="77">
        <v>1512326000</v>
      </c>
      <c r="E10" s="78">
        <v>292461000</v>
      </c>
      <c r="F10" s="80">
        <f aca="true" t="shared" si="0" ref="F10:F36">$D10+$E10</f>
        <v>1804787000</v>
      </c>
      <c r="G10" s="77">
        <v>1512326000</v>
      </c>
      <c r="H10" s="78">
        <v>292461000</v>
      </c>
      <c r="I10" s="80">
        <f aca="true" t="shared" si="1" ref="I10:I36">$G10+$H10</f>
        <v>1804787000</v>
      </c>
      <c r="J10" s="77">
        <v>430847330</v>
      </c>
      <c r="K10" s="78">
        <v>13163976</v>
      </c>
      <c r="L10" s="78">
        <f aca="true" t="shared" si="2" ref="L10:L36">$J10+$K10</f>
        <v>444011306</v>
      </c>
      <c r="M10" s="40">
        <f aca="true" t="shared" si="3" ref="M10:M36">IF($F10=0,0,$L10/$F10)</f>
        <v>0.24601867477990477</v>
      </c>
      <c r="N10" s="105">
        <v>238849464</v>
      </c>
      <c r="O10" s="106">
        <v>49565201</v>
      </c>
      <c r="P10" s="107">
        <f aca="true" t="shared" si="4" ref="P10:P36">$N10+$O10</f>
        <v>288414665</v>
      </c>
      <c r="Q10" s="40">
        <f aca="true" t="shared" si="5" ref="Q10:Q36">IF($F10=0,0,$P10/$F10)</f>
        <v>0.15980537592524768</v>
      </c>
      <c r="R10" s="105">
        <v>454590248</v>
      </c>
      <c r="S10" s="107">
        <v>73344887</v>
      </c>
      <c r="T10" s="107">
        <f aca="true" t="shared" si="6" ref="T10:T36">$R10+$S10</f>
        <v>527935135</v>
      </c>
      <c r="U10" s="40">
        <f aca="true" t="shared" si="7" ref="U10:U36">IF($I10=0,0,$T10/$I10)</f>
        <v>0.29251935824005826</v>
      </c>
      <c r="V10" s="105">
        <v>0</v>
      </c>
      <c r="W10" s="107">
        <v>0</v>
      </c>
      <c r="X10" s="107">
        <f aca="true" t="shared" si="8" ref="X10:X36">$V10+$W10</f>
        <v>0</v>
      </c>
      <c r="Y10" s="40">
        <f aca="true" t="shared" si="9" ref="Y10:Y36">IF($I10=0,0,$X10/$I10)</f>
        <v>0</v>
      </c>
      <c r="Z10" s="77">
        <f aca="true" t="shared" si="10" ref="Z10:Z36">$J10+$N10+$R10</f>
        <v>1124287042</v>
      </c>
      <c r="AA10" s="78">
        <f aca="true" t="shared" si="11" ref="AA10:AA36">$K10+$O10+$S10</f>
        <v>136074064</v>
      </c>
      <c r="AB10" s="78">
        <f aca="true" t="shared" si="12" ref="AB10:AB36">$Z10+$AA10</f>
        <v>1260361106</v>
      </c>
      <c r="AC10" s="40">
        <f aca="true" t="shared" si="13" ref="AC10:AC36">IF($I10=0,0,$AB10/$I10)</f>
        <v>0.6983434089452107</v>
      </c>
      <c r="AD10" s="77">
        <v>241362244</v>
      </c>
      <c r="AE10" s="78">
        <v>93824950</v>
      </c>
      <c r="AF10" s="78">
        <f aca="true" t="shared" si="14" ref="AF10:AF36">$AD10+$AE10</f>
        <v>335187194</v>
      </c>
      <c r="AG10" s="40">
        <f>IF(1683498311=0,0,1096097085/1683498311)</f>
        <v>0.6510829727823826</v>
      </c>
      <c r="AH10" s="40">
        <f aca="true" t="shared" si="15" ref="AH10:AH36">IF($AF10=0,0,(($T10/$AF10)-1))</f>
        <v>0.5750456594114393</v>
      </c>
      <c r="AI10" s="12">
        <v>1657402008</v>
      </c>
      <c r="AJ10" s="12">
        <v>1683498311</v>
      </c>
      <c r="AK10" s="12">
        <v>1096097085</v>
      </c>
      <c r="AL10" s="12"/>
    </row>
    <row r="11" spans="1:38" s="13" customFormat="1" ht="12.75">
      <c r="A11" s="29" t="s">
        <v>96</v>
      </c>
      <c r="B11" s="60" t="s">
        <v>82</v>
      </c>
      <c r="C11" s="39" t="s">
        <v>83</v>
      </c>
      <c r="D11" s="77">
        <v>3575490049</v>
      </c>
      <c r="E11" s="78">
        <v>1063748483</v>
      </c>
      <c r="F11" s="79">
        <f t="shared" si="0"/>
        <v>4639238532</v>
      </c>
      <c r="G11" s="77">
        <v>3575490049</v>
      </c>
      <c r="H11" s="78">
        <v>1063748483</v>
      </c>
      <c r="I11" s="80">
        <f t="shared" si="1"/>
        <v>4639238532</v>
      </c>
      <c r="J11" s="77">
        <v>945208916</v>
      </c>
      <c r="K11" s="78">
        <v>130695281</v>
      </c>
      <c r="L11" s="78">
        <f t="shared" si="2"/>
        <v>1075904197</v>
      </c>
      <c r="M11" s="40">
        <f t="shared" si="3"/>
        <v>0.23191396380650686</v>
      </c>
      <c r="N11" s="105">
        <v>725179560</v>
      </c>
      <c r="O11" s="106">
        <v>120601804</v>
      </c>
      <c r="P11" s="107">
        <f t="shared" si="4"/>
        <v>845781364</v>
      </c>
      <c r="Q11" s="40">
        <f t="shared" si="5"/>
        <v>0.18231038524233398</v>
      </c>
      <c r="R11" s="105">
        <v>727075797</v>
      </c>
      <c r="S11" s="107">
        <v>182803926</v>
      </c>
      <c r="T11" s="107">
        <f t="shared" si="6"/>
        <v>909879723</v>
      </c>
      <c r="U11" s="40">
        <f t="shared" si="7"/>
        <v>0.1961269541809367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2397464273</v>
      </c>
      <c r="AA11" s="78">
        <f t="shared" si="11"/>
        <v>434101011</v>
      </c>
      <c r="AB11" s="78">
        <f t="shared" si="12"/>
        <v>2831565284</v>
      </c>
      <c r="AC11" s="40">
        <f t="shared" si="13"/>
        <v>0.6103513032297775</v>
      </c>
      <c r="AD11" s="77">
        <v>707095107</v>
      </c>
      <c r="AE11" s="78">
        <v>146610717</v>
      </c>
      <c r="AF11" s="78">
        <f t="shared" si="14"/>
        <v>853705824</v>
      </c>
      <c r="AG11" s="40">
        <f>IF(4656830294=0,0,2736906861/4656830294)</f>
        <v>0.5877188319544977</v>
      </c>
      <c r="AH11" s="40">
        <f t="shared" si="15"/>
        <v>0.06580006533960336</v>
      </c>
      <c r="AI11" s="12">
        <v>4684752056</v>
      </c>
      <c r="AJ11" s="12">
        <v>4656830294</v>
      </c>
      <c r="AK11" s="12">
        <v>2736906861</v>
      </c>
      <c r="AL11" s="12"/>
    </row>
    <row r="12" spans="1:38" s="13" customFormat="1" ht="12.75">
      <c r="A12" s="29" t="s">
        <v>96</v>
      </c>
      <c r="B12" s="60" t="s">
        <v>554</v>
      </c>
      <c r="C12" s="39" t="s">
        <v>555</v>
      </c>
      <c r="D12" s="77">
        <v>143873000</v>
      </c>
      <c r="E12" s="78">
        <v>27852100</v>
      </c>
      <c r="F12" s="79">
        <f t="shared" si="0"/>
        <v>171725100</v>
      </c>
      <c r="G12" s="77">
        <v>143873000</v>
      </c>
      <c r="H12" s="78">
        <v>27852100</v>
      </c>
      <c r="I12" s="80">
        <f t="shared" si="1"/>
        <v>171725100</v>
      </c>
      <c r="J12" s="77">
        <v>63949539</v>
      </c>
      <c r="K12" s="78">
        <v>6836413</v>
      </c>
      <c r="L12" s="78">
        <f t="shared" si="2"/>
        <v>70785952</v>
      </c>
      <c r="M12" s="40">
        <f t="shared" si="3"/>
        <v>0.4122050416625176</v>
      </c>
      <c r="N12" s="105">
        <v>61079377</v>
      </c>
      <c r="O12" s="106">
        <v>4343614</v>
      </c>
      <c r="P12" s="107">
        <f t="shared" si="4"/>
        <v>65422991</v>
      </c>
      <c r="Q12" s="40">
        <f t="shared" si="5"/>
        <v>0.3809751224486112</v>
      </c>
      <c r="R12" s="105">
        <v>8239380</v>
      </c>
      <c r="S12" s="107">
        <v>1097191</v>
      </c>
      <c r="T12" s="107">
        <f t="shared" si="6"/>
        <v>9336571</v>
      </c>
      <c r="U12" s="40">
        <f t="shared" si="7"/>
        <v>0.0543692855616331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133268296</v>
      </c>
      <c r="AA12" s="78">
        <f t="shared" si="11"/>
        <v>12277218</v>
      </c>
      <c r="AB12" s="78">
        <f t="shared" si="12"/>
        <v>145545514</v>
      </c>
      <c r="AC12" s="40">
        <f t="shared" si="13"/>
        <v>0.8475494496727619</v>
      </c>
      <c r="AD12" s="77">
        <v>27794522</v>
      </c>
      <c r="AE12" s="78">
        <v>4576311</v>
      </c>
      <c r="AF12" s="78">
        <f t="shared" si="14"/>
        <v>32370833</v>
      </c>
      <c r="AG12" s="40">
        <f>IF(169719023=0,0,122471152/169719023)</f>
        <v>0.7216112244530184</v>
      </c>
      <c r="AH12" s="40">
        <f t="shared" si="15"/>
        <v>-0.7115745832058137</v>
      </c>
      <c r="AI12" s="12">
        <v>160638899</v>
      </c>
      <c r="AJ12" s="12">
        <v>169719023</v>
      </c>
      <c r="AK12" s="12">
        <v>122471152</v>
      </c>
      <c r="AL12" s="12"/>
    </row>
    <row r="13" spans="1:38" s="13" customFormat="1" ht="12.75">
      <c r="A13" s="29" t="s">
        <v>96</v>
      </c>
      <c r="B13" s="60" t="s">
        <v>556</v>
      </c>
      <c r="C13" s="39" t="s">
        <v>557</v>
      </c>
      <c r="D13" s="77">
        <v>592670191</v>
      </c>
      <c r="E13" s="78">
        <v>150257273</v>
      </c>
      <c r="F13" s="79">
        <f t="shared" si="0"/>
        <v>742927464</v>
      </c>
      <c r="G13" s="77">
        <v>612501605</v>
      </c>
      <c r="H13" s="78">
        <v>220426060</v>
      </c>
      <c r="I13" s="80">
        <f t="shared" si="1"/>
        <v>832927665</v>
      </c>
      <c r="J13" s="77">
        <v>187804406</v>
      </c>
      <c r="K13" s="78">
        <v>23885315</v>
      </c>
      <c r="L13" s="78">
        <f t="shared" si="2"/>
        <v>211689721</v>
      </c>
      <c r="M13" s="40">
        <f t="shared" si="3"/>
        <v>0.2849399588221442</v>
      </c>
      <c r="N13" s="105">
        <v>174023151</v>
      </c>
      <c r="O13" s="106">
        <v>39868522</v>
      </c>
      <c r="P13" s="107">
        <f t="shared" si="4"/>
        <v>213891673</v>
      </c>
      <c r="Q13" s="40">
        <f t="shared" si="5"/>
        <v>0.28790384440546135</v>
      </c>
      <c r="R13" s="105">
        <v>145638861</v>
      </c>
      <c r="S13" s="107">
        <v>44993373</v>
      </c>
      <c r="T13" s="107">
        <f t="shared" si="6"/>
        <v>190632234</v>
      </c>
      <c r="U13" s="40">
        <f t="shared" si="7"/>
        <v>0.22887009522009333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507466418</v>
      </c>
      <c r="AA13" s="78">
        <f t="shared" si="11"/>
        <v>108747210</v>
      </c>
      <c r="AB13" s="78">
        <f t="shared" si="12"/>
        <v>616213628</v>
      </c>
      <c r="AC13" s="40">
        <f t="shared" si="13"/>
        <v>0.7398164977507381</v>
      </c>
      <c r="AD13" s="77">
        <v>112422984</v>
      </c>
      <c r="AE13" s="78">
        <v>33915645</v>
      </c>
      <c r="AF13" s="78">
        <f t="shared" si="14"/>
        <v>146338629</v>
      </c>
      <c r="AG13" s="40">
        <f>IF(739755457=0,0,473156817/739755457)</f>
        <v>0.6396124726390494</v>
      </c>
      <c r="AH13" s="40">
        <f t="shared" si="15"/>
        <v>0.3026788299349177</v>
      </c>
      <c r="AI13" s="12">
        <v>685852723</v>
      </c>
      <c r="AJ13" s="12">
        <v>739755457</v>
      </c>
      <c r="AK13" s="12">
        <v>473156817</v>
      </c>
      <c r="AL13" s="12"/>
    </row>
    <row r="14" spans="1:38" s="13" customFormat="1" ht="12.75">
      <c r="A14" s="29" t="s">
        <v>115</v>
      </c>
      <c r="B14" s="60" t="s">
        <v>558</v>
      </c>
      <c r="C14" s="39" t="s">
        <v>559</v>
      </c>
      <c r="D14" s="77">
        <v>300128000</v>
      </c>
      <c r="E14" s="78">
        <v>965270</v>
      </c>
      <c r="F14" s="79">
        <f t="shared" si="0"/>
        <v>301093270</v>
      </c>
      <c r="G14" s="77">
        <v>301093000</v>
      </c>
      <c r="H14" s="78">
        <v>2855000</v>
      </c>
      <c r="I14" s="80">
        <f t="shared" si="1"/>
        <v>303948000</v>
      </c>
      <c r="J14" s="77">
        <v>129903482</v>
      </c>
      <c r="K14" s="78">
        <v>109240</v>
      </c>
      <c r="L14" s="78">
        <f t="shared" si="2"/>
        <v>130012722</v>
      </c>
      <c r="M14" s="40">
        <f t="shared" si="3"/>
        <v>0.4318021522035348</v>
      </c>
      <c r="N14" s="105">
        <v>96294307</v>
      </c>
      <c r="O14" s="106">
        <v>0</v>
      </c>
      <c r="P14" s="107">
        <f t="shared" si="4"/>
        <v>96294307</v>
      </c>
      <c r="Q14" s="40">
        <f t="shared" si="5"/>
        <v>0.319815540878745</v>
      </c>
      <c r="R14" s="105">
        <v>75243659</v>
      </c>
      <c r="S14" s="107">
        <v>3179108</v>
      </c>
      <c r="T14" s="107">
        <f t="shared" si="6"/>
        <v>78422767</v>
      </c>
      <c r="U14" s="40">
        <f t="shared" si="7"/>
        <v>0.2580137622224854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301441448</v>
      </c>
      <c r="AA14" s="78">
        <f t="shared" si="11"/>
        <v>3288348</v>
      </c>
      <c r="AB14" s="78">
        <f t="shared" si="12"/>
        <v>304729796</v>
      </c>
      <c r="AC14" s="40">
        <f t="shared" si="13"/>
        <v>1.0025721373392817</v>
      </c>
      <c r="AD14" s="77">
        <v>76732687</v>
      </c>
      <c r="AE14" s="78">
        <v>228241</v>
      </c>
      <c r="AF14" s="78">
        <f t="shared" si="14"/>
        <v>76960928</v>
      </c>
      <c r="AG14" s="40">
        <f>IF(273188617=0,0,279282856/273188617)</f>
        <v>1.0223078072099907</v>
      </c>
      <c r="AH14" s="40">
        <f t="shared" si="15"/>
        <v>0.01899456046060144</v>
      </c>
      <c r="AI14" s="12">
        <v>308600000</v>
      </c>
      <c r="AJ14" s="12">
        <v>273188617</v>
      </c>
      <c r="AK14" s="12">
        <v>279282856</v>
      </c>
      <c r="AL14" s="12"/>
    </row>
    <row r="15" spans="1:38" s="56" customFormat="1" ht="12.75">
      <c r="A15" s="61"/>
      <c r="B15" s="62" t="s">
        <v>560</v>
      </c>
      <c r="C15" s="32"/>
      <c r="D15" s="81">
        <f>SUM(D9:D14)</f>
        <v>6480444562</v>
      </c>
      <c r="E15" s="82">
        <f>SUM(E9:E14)</f>
        <v>1659498927</v>
      </c>
      <c r="F15" s="90">
        <f t="shared" si="0"/>
        <v>8139943489</v>
      </c>
      <c r="G15" s="81">
        <f>SUM(G9:G14)</f>
        <v>6501240976</v>
      </c>
      <c r="H15" s="82">
        <f>SUM(H9:H14)</f>
        <v>1731557444</v>
      </c>
      <c r="I15" s="83">
        <f t="shared" si="1"/>
        <v>8232798420</v>
      </c>
      <c r="J15" s="81">
        <f>SUM(J9:J14)</f>
        <v>1894965943</v>
      </c>
      <c r="K15" s="82">
        <f>SUM(K9:K14)</f>
        <v>198113160</v>
      </c>
      <c r="L15" s="82">
        <f t="shared" si="2"/>
        <v>2093079103</v>
      </c>
      <c r="M15" s="44">
        <f t="shared" si="3"/>
        <v>0.2571368100808691</v>
      </c>
      <c r="N15" s="111">
        <f>SUM(N9:N14)</f>
        <v>1322749968</v>
      </c>
      <c r="O15" s="112">
        <f>SUM(O9:O14)</f>
        <v>293468221</v>
      </c>
      <c r="P15" s="113">
        <f t="shared" si="4"/>
        <v>1616218189</v>
      </c>
      <c r="Q15" s="44">
        <f t="shared" si="5"/>
        <v>0.19855398150909695</v>
      </c>
      <c r="R15" s="111">
        <f>SUM(R9:R14)</f>
        <v>1509549430</v>
      </c>
      <c r="S15" s="113">
        <f>SUM(S9:S14)</f>
        <v>360124354</v>
      </c>
      <c r="T15" s="113">
        <f t="shared" si="6"/>
        <v>1869673784</v>
      </c>
      <c r="U15" s="44">
        <f t="shared" si="7"/>
        <v>0.22710063925019555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4">
        <f t="shared" si="9"/>
        <v>0</v>
      </c>
      <c r="Z15" s="81">
        <f t="shared" si="10"/>
        <v>4727265341</v>
      </c>
      <c r="AA15" s="82">
        <f t="shared" si="11"/>
        <v>851705735</v>
      </c>
      <c r="AB15" s="82">
        <f t="shared" si="12"/>
        <v>5578971076</v>
      </c>
      <c r="AC15" s="44">
        <f t="shared" si="13"/>
        <v>0.6776518495153437</v>
      </c>
      <c r="AD15" s="81">
        <f>SUM(AD9:AD14)</f>
        <v>1264371156</v>
      </c>
      <c r="AE15" s="82">
        <f>SUM(AE9:AE14)</f>
        <v>298195357</v>
      </c>
      <c r="AF15" s="82">
        <f t="shared" si="14"/>
        <v>1562566513</v>
      </c>
      <c r="AG15" s="44">
        <f>IF(273188617=0,0,279282856/273188617)</f>
        <v>1.0223078072099907</v>
      </c>
      <c r="AH15" s="44">
        <f t="shared" si="15"/>
        <v>0.19654028705016802</v>
      </c>
      <c r="AI15" s="63">
        <f>SUM(AI9:AI14)</f>
        <v>7912339636</v>
      </c>
      <c r="AJ15" s="63">
        <f>SUM(AJ9:AJ14)</f>
        <v>7988720075</v>
      </c>
      <c r="AK15" s="63">
        <f>SUM(AK9:AK14)</f>
        <v>5125536794</v>
      </c>
      <c r="AL15" s="63"/>
    </row>
    <row r="16" spans="1:38" s="13" customFormat="1" ht="12.75">
      <c r="A16" s="29" t="s">
        <v>96</v>
      </c>
      <c r="B16" s="60" t="s">
        <v>561</v>
      </c>
      <c r="C16" s="39" t="s">
        <v>562</v>
      </c>
      <c r="D16" s="77">
        <v>118737248</v>
      </c>
      <c r="E16" s="78">
        <v>33205000</v>
      </c>
      <c r="F16" s="79">
        <f t="shared" si="0"/>
        <v>151942248</v>
      </c>
      <c r="G16" s="77">
        <v>118737248</v>
      </c>
      <c r="H16" s="78">
        <v>33205000</v>
      </c>
      <c r="I16" s="80">
        <f t="shared" si="1"/>
        <v>151942248</v>
      </c>
      <c r="J16" s="77">
        <v>54335239</v>
      </c>
      <c r="K16" s="78">
        <v>7813993</v>
      </c>
      <c r="L16" s="78">
        <f t="shared" si="2"/>
        <v>62149232</v>
      </c>
      <c r="M16" s="40">
        <f t="shared" si="3"/>
        <v>0.40903193692382384</v>
      </c>
      <c r="N16" s="105">
        <v>36330145</v>
      </c>
      <c r="O16" s="106">
        <v>30205299</v>
      </c>
      <c r="P16" s="107">
        <f t="shared" si="4"/>
        <v>66535444</v>
      </c>
      <c r="Q16" s="40">
        <f t="shared" si="5"/>
        <v>0.4378995629971198</v>
      </c>
      <c r="R16" s="105">
        <v>31313467</v>
      </c>
      <c r="S16" s="107">
        <v>3885226</v>
      </c>
      <c r="T16" s="107">
        <f t="shared" si="6"/>
        <v>35198693</v>
      </c>
      <c r="U16" s="40">
        <f t="shared" si="7"/>
        <v>0.2316583666709999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121978851</v>
      </c>
      <c r="AA16" s="78">
        <f t="shared" si="11"/>
        <v>41904518</v>
      </c>
      <c r="AB16" s="78">
        <f t="shared" si="12"/>
        <v>163883369</v>
      </c>
      <c r="AC16" s="40">
        <f t="shared" si="13"/>
        <v>1.0785898665919436</v>
      </c>
      <c r="AD16" s="77">
        <v>43211805</v>
      </c>
      <c r="AE16" s="78">
        <v>5865675</v>
      </c>
      <c r="AF16" s="78">
        <f t="shared" si="14"/>
        <v>49077480</v>
      </c>
      <c r="AG16" s="40">
        <f>IF(201283815=0,0,198503850/201283815)</f>
        <v>0.9861888299364755</v>
      </c>
      <c r="AH16" s="40">
        <f t="shared" si="15"/>
        <v>-0.28279339118471447</v>
      </c>
      <c r="AI16" s="12">
        <v>187628816</v>
      </c>
      <c r="AJ16" s="12">
        <v>201283815</v>
      </c>
      <c r="AK16" s="12">
        <v>198503850</v>
      </c>
      <c r="AL16" s="12"/>
    </row>
    <row r="17" spans="1:38" s="13" customFormat="1" ht="12.75">
      <c r="A17" s="29" t="s">
        <v>96</v>
      </c>
      <c r="B17" s="60" t="s">
        <v>563</v>
      </c>
      <c r="C17" s="39" t="s">
        <v>564</v>
      </c>
      <c r="D17" s="77">
        <v>173237853</v>
      </c>
      <c r="E17" s="78">
        <v>30190000</v>
      </c>
      <c r="F17" s="79">
        <f t="shared" si="0"/>
        <v>203427853</v>
      </c>
      <c r="G17" s="77">
        <v>171026653</v>
      </c>
      <c r="H17" s="78">
        <v>30190000</v>
      </c>
      <c r="I17" s="80">
        <f t="shared" si="1"/>
        <v>201216653</v>
      </c>
      <c r="J17" s="77">
        <v>66624495</v>
      </c>
      <c r="K17" s="78">
        <v>7777196</v>
      </c>
      <c r="L17" s="78">
        <f t="shared" si="2"/>
        <v>74401691</v>
      </c>
      <c r="M17" s="40">
        <f t="shared" si="3"/>
        <v>0.36573994122623904</v>
      </c>
      <c r="N17" s="105">
        <v>20075088</v>
      </c>
      <c r="O17" s="106">
        <v>2915292</v>
      </c>
      <c r="P17" s="107">
        <f t="shared" si="4"/>
        <v>22990380</v>
      </c>
      <c r="Q17" s="40">
        <f t="shared" si="5"/>
        <v>0.11301490755054078</v>
      </c>
      <c r="R17" s="105">
        <v>53933762</v>
      </c>
      <c r="S17" s="107">
        <v>11246878</v>
      </c>
      <c r="T17" s="107">
        <f t="shared" si="6"/>
        <v>65180640</v>
      </c>
      <c r="U17" s="40">
        <f t="shared" si="7"/>
        <v>0.3239326319576541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140633345</v>
      </c>
      <c r="AA17" s="78">
        <f t="shared" si="11"/>
        <v>21939366</v>
      </c>
      <c r="AB17" s="78">
        <f t="shared" si="12"/>
        <v>162572711</v>
      </c>
      <c r="AC17" s="40">
        <f t="shared" si="13"/>
        <v>0.8079485896229474</v>
      </c>
      <c r="AD17" s="77">
        <v>21495288</v>
      </c>
      <c r="AE17" s="78">
        <v>1832872</v>
      </c>
      <c r="AF17" s="78">
        <f t="shared" si="14"/>
        <v>23328160</v>
      </c>
      <c r="AG17" s="40">
        <f>IF(182353338=0,0,95509713/182353338)</f>
        <v>0.5237618024848001</v>
      </c>
      <c r="AH17" s="40">
        <f t="shared" si="15"/>
        <v>1.7940754864507102</v>
      </c>
      <c r="AI17" s="12">
        <v>179176733</v>
      </c>
      <c r="AJ17" s="12">
        <v>182353338</v>
      </c>
      <c r="AK17" s="12">
        <v>95509713</v>
      </c>
      <c r="AL17" s="12"/>
    </row>
    <row r="18" spans="1:38" s="13" customFormat="1" ht="12.75">
      <c r="A18" s="29" t="s">
        <v>96</v>
      </c>
      <c r="B18" s="60" t="s">
        <v>565</v>
      </c>
      <c r="C18" s="39" t="s">
        <v>566</v>
      </c>
      <c r="D18" s="77">
        <v>522557391</v>
      </c>
      <c r="E18" s="78">
        <v>59184000</v>
      </c>
      <c r="F18" s="79">
        <f t="shared" si="0"/>
        <v>581741391</v>
      </c>
      <c r="G18" s="77">
        <v>549423269</v>
      </c>
      <c r="H18" s="78">
        <v>105534000</v>
      </c>
      <c r="I18" s="80">
        <f t="shared" si="1"/>
        <v>654957269</v>
      </c>
      <c r="J18" s="77">
        <v>183243680</v>
      </c>
      <c r="K18" s="78">
        <v>14245460</v>
      </c>
      <c r="L18" s="78">
        <f t="shared" si="2"/>
        <v>197489140</v>
      </c>
      <c r="M18" s="40">
        <f t="shared" si="3"/>
        <v>0.3394792652806099</v>
      </c>
      <c r="N18" s="105">
        <v>126707713</v>
      </c>
      <c r="O18" s="106">
        <v>33286074</v>
      </c>
      <c r="P18" s="107">
        <f t="shared" si="4"/>
        <v>159993787</v>
      </c>
      <c r="Q18" s="40">
        <f t="shared" si="5"/>
        <v>0.2750256204479011</v>
      </c>
      <c r="R18" s="105">
        <v>152630965</v>
      </c>
      <c r="S18" s="107">
        <v>18714754</v>
      </c>
      <c r="T18" s="107">
        <f t="shared" si="6"/>
        <v>171345719</v>
      </c>
      <c r="U18" s="40">
        <f t="shared" si="7"/>
        <v>0.2616135847482288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462582358</v>
      </c>
      <c r="AA18" s="78">
        <f t="shared" si="11"/>
        <v>66246288</v>
      </c>
      <c r="AB18" s="78">
        <f t="shared" si="12"/>
        <v>528828646</v>
      </c>
      <c r="AC18" s="40">
        <f t="shared" si="13"/>
        <v>0.8074246535310993</v>
      </c>
      <c r="AD18" s="77">
        <v>78309627</v>
      </c>
      <c r="AE18" s="78">
        <v>3965788</v>
      </c>
      <c r="AF18" s="78">
        <f t="shared" si="14"/>
        <v>82275415</v>
      </c>
      <c r="AG18" s="40">
        <f>IF(522241400=0,0,324448083/522241400)</f>
        <v>0.6212607483818786</v>
      </c>
      <c r="AH18" s="40">
        <f t="shared" si="15"/>
        <v>1.0825871130519364</v>
      </c>
      <c r="AI18" s="12">
        <v>591768381</v>
      </c>
      <c r="AJ18" s="12">
        <v>522241400</v>
      </c>
      <c r="AK18" s="12">
        <v>324448083</v>
      </c>
      <c r="AL18" s="12"/>
    </row>
    <row r="19" spans="1:38" s="13" customFormat="1" ht="12.75">
      <c r="A19" s="29" t="s">
        <v>96</v>
      </c>
      <c r="B19" s="60" t="s">
        <v>567</v>
      </c>
      <c r="C19" s="39" t="s">
        <v>568</v>
      </c>
      <c r="D19" s="77">
        <v>375744550</v>
      </c>
      <c r="E19" s="78">
        <v>37392000</v>
      </c>
      <c r="F19" s="79">
        <f t="shared" si="0"/>
        <v>413136550</v>
      </c>
      <c r="G19" s="77">
        <v>375745000</v>
      </c>
      <c r="H19" s="78">
        <v>37392000</v>
      </c>
      <c r="I19" s="80">
        <f t="shared" si="1"/>
        <v>413137000</v>
      </c>
      <c r="J19" s="77">
        <v>80614261</v>
      </c>
      <c r="K19" s="78">
        <v>5410071</v>
      </c>
      <c r="L19" s="78">
        <f t="shared" si="2"/>
        <v>86024332</v>
      </c>
      <c r="M19" s="40">
        <f t="shared" si="3"/>
        <v>0.20822251626005978</v>
      </c>
      <c r="N19" s="105">
        <v>81971365</v>
      </c>
      <c r="O19" s="106">
        <v>7914475</v>
      </c>
      <c r="P19" s="107">
        <f t="shared" si="4"/>
        <v>89885840</v>
      </c>
      <c r="Q19" s="40">
        <f t="shared" si="5"/>
        <v>0.21756932423432399</v>
      </c>
      <c r="R19" s="105">
        <v>85758791</v>
      </c>
      <c r="S19" s="107">
        <v>1964127</v>
      </c>
      <c r="T19" s="107">
        <f t="shared" si="6"/>
        <v>87722918</v>
      </c>
      <c r="U19" s="40">
        <f t="shared" si="7"/>
        <v>0.21233372464824019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248344417</v>
      </c>
      <c r="AA19" s="78">
        <f t="shared" si="11"/>
        <v>15288673</v>
      </c>
      <c r="AB19" s="78">
        <f t="shared" si="12"/>
        <v>263633090</v>
      </c>
      <c r="AC19" s="40">
        <f t="shared" si="13"/>
        <v>0.6381251013586292</v>
      </c>
      <c r="AD19" s="77">
        <v>44356737</v>
      </c>
      <c r="AE19" s="78">
        <v>3962776</v>
      </c>
      <c r="AF19" s="78">
        <f t="shared" si="14"/>
        <v>48319513</v>
      </c>
      <c r="AG19" s="40">
        <f>IF(376349000=0,0,232948050/376349000)</f>
        <v>0.6189681651871003</v>
      </c>
      <c r="AH19" s="40">
        <f t="shared" si="15"/>
        <v>0.815476037599965</v>
      </c>
      <c r="AI19" s="12">
        <v>385300453</v>
      </c>
      <c r="AJ19" s="12">
        <v>376349000</v>
      </c>
      <c r="AK19" s="12">
        <v>232948050</v>
      </c>
      <c r="AL19" s="12"/>
    </row>
    <row r="20" spans="1:38" s="13" customFormat="1" ht="12.75">
      <c r="A20" s="29" t="s">
        <v>96</v>
      </c>
      <c r="B20" s="60" t="s">
        <v>569</v>
      </c>
      <c r="C20" s="39" t="s">
        <v>570</v>
      </c>
      <c r="D20" s="77">
        <v>282121835</v>
      </c>
      <c r="E20" s="78">
        <v>105703023</v>
      </c>
      <c r="F20" s="79">
        <f t="shared" si="0"/>
        <v>387824858</v>
      </c>
      <c r="G20" s="77">
        <v>282121835</v>
      </c>
      <c r="H20" s="78">
        <v>67694023</v>
      </c>
      <c r="I20" s="80">
        <f t="shared" si="1"/>
        <v>349815858</v>
      </c>
      <c r="J20" s="77">
        <v>67119243</v>
      </c>
      <c r="K20" s="78">
        <v>15760781</v>
      </c>
      <c r="L20" s="78">
        <f t="shared" si="2"/>
        <v>82880024</v>
      </c>
      <c r="M20" s="40">
        <f t="shared" si="3"/>
        <v>0.2137047749528216</v>
      </c>
      <c r="N20" s="105">
        <v>24444894</v>
      </c>
      <c r="O20" s="106">
        <v>19384913</v>
      </c>
      <c r="P20" s="107">
        <f t="shared" si="4"/>
        <v>43829807</v>
      </c>
      <c r="Q20" s="40">
        <f t="shared" si="5"/>
        <v>0.11301443446928304</v>
      </c>
      <c r="R20" s="105">
        <v>28382643</v>
      </c>
      <c r="S20" s="107">
        <v>4890989</v>
      </c>
      <c r="T20" s="107">
        <f t="shared" si="6"/>
        <v>33273632</v>
      </c>
      <c r="U20" s="40">
        <f t="shared" si="7"/>
        <v>0.09511756325237834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119946780</v>
      </c>
      <c r="AA20" s="78">
        <f t="shared" si="11"/>
        <v>40036683</v>
      </c>
      <c r="AB20" s="78">
        <f t="shared" si="12"/>
        <v>159983463</v>
      </c>
      <c r="AC20" s="40">
        <f t="shared" si="13"/>
        <v>0.45733622230470755</v>
      </c>
      <c r="AD20" s="77">
        <v>89044392</v>
      </c>
      <c r="AE20" s="78">
        <v>3128742</v>
      </c>
      <c r="AF20" s="78">
        <f t="shared" si="14"/>
        <v>92173134</v>
      </c>
      <c r="AG20" s="40">
        <f>IF(310561262=0,0,210620854/310561262)</f>
        <v>0.6781942237213088</v>
      </c>
      <c r="AH20" s="40">
        <f t="shared" si="15"/>
        <v>-0.6390094319674537</v>
      </c>
      <c r="AI20" s="12">
        <v>277737354</v>
      </c>
      <c r="AJ20" s="12">
        <v>310561262</v>
      </c>
      <c r="AK20" s="12">
        <v>210620854</v>
      </c>
      <c r="AL20" s="12"/>
    </row>
    <row r="21" spans="1:38" s="13" customFormat="1" ht="12.75">
      <c r="A21" s="29" t="s">
        <v>115</v>
      </c>
      <c r="B21" s="60" t="s">
        <v>571</v>
      </c>
      <c r="C21" s="39" t="s">
        <v>572</v>
      </c>
      <c r="D21" s="77">
        <v>519626155</v>
      </c>
      <c r="E21" s="78">
        <v>282763552</v>
      </c>
      <c r="F21" s="80">
        <f t="shared" si="0"/>
        <v>802389707</v>
      </c>
      <c r="G21" s="77">
        <v>519137480</v>
      </c>
      <c r="H21" s="78">
        <v>277495068</v>
      </c>
      <c r="I21" s="80">
        <f t="shared" si="1"/>
        <v>796632548</v>
      </c>
      <c r="J21" s="77">
        <v>214130940</v>
      </c>
      <c r="K21" s="78">
        <v>15700245</v>
      </c>
      <c r="L21" s="78">
        <f t="shared" si="2"/>
        <v>229831185</v>
      </c>
      <c r="M21" s="40">
        <f t="shared" si="3"/>
        <v>0.28643336647387974</v>
      </c>
      <c r="N21" s="105">
        <v>229028605</v>
      </c>
      <c r="O21" s="106">
        <v>32322713</v>
      </c>
      <c r="P21" s="107">
        <f t="shared" si="4"/>
        <v>261351318</v>
      </c>
      <c r="Q21" s="40">
        <f t="shared" si="5"/>
        <v>0.32571618967689475</v>
      </c>
      <c r="R21" s="105">
        <v>167346507</v>
      </c>
      <c r="S21" s="107">
        <v>13561085</v>
      </c>
      <c r="T21" s="107">
        <f t="shared" si="6"/>
        <v>180907592</v>
      </c>
      <c r="U21" s="40">
        <f t="shared" si="7"/>
        <v>0.22709038496378384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610506052</v>
      </c>
      <c r="AA21" s="78">
        <f t="shared" si="11"/>
        <v>61584043</v>
      </c>
      <c r="AB21" s="78">
        <f t="shared" si="12"/>
        <v>672090095</v>
      </c>
      <c r="AC21" s="40">
        <f t="shared" si="13"/>
        <v>0.8436638657149118</v>
      </c>
      <c r="AD21" s="77">
        <v>129655218</v>
      </c>
      <c r="AE21" s="78">
        <v>49205028</v>
      </c>
      <c r="AF21" s="78">
        <f t="shared" si="14"/>
        <v>178860246</v>
      </c>
      <c r="AG21" s="40">
        <f>IF(848760103=0,0,615547133/848760103)</f>
        <v>0.7252309938041468</v>
      </c>
      <c r="AH21" s="40">
        <f t="shared" si="15"/>
        <v>0.011446624086606683</v>
      </c>
      <c r="AI21" s="12">
        <v>835558353</v>
      </c>
      <c r="AJ21" s="12">
        <v>848760103</v>
      </c>
      <c r="AK21" s="12">
        <v>615547133</v>
      </c>
      <c r="AL21" s="12"/>
    </row>
    <row r="22" spans="1:38" s="56" customFormat="1" ht="12.75">
      <c r="A22" s="61"/>
      <c r="B22" s="62" t="s">
        <v>573</v>
      </c>
      <c r="C22" s="32"/>
      <c r="D22" s="81">
        <f>SUM(D16:D21)</f>
        <v>1992025032</v>
      </c>
      <c r="E22" s="82">
        <f>SUM(E16:E21)</f>
        <v>548437575</v>
      </c>
      <c r="F22" s="90">
        <f t="shared" si="0"/>
        <v>2540462607</v>
      </c>
      <c r="G22" s="81">
        <f>SUM(G16:G21)</f>
        <v>2016191485</v>
      </c>
      <c r="H22" s="82">
        <f>SUM(H16:H21)</f>
        <v>551510091</v>
      </c>
      <c r="I22" s="83">
        <f t="shared" si="1"/>
        <v>2567701576</v>
      </c>
      <c r="J22" s="81">
        <f>SUM(J16:J21)</f>
        <v>666067858</v>
      </c>
      <c r="K22" s="82">
        <f>SUM(K16:K21)</f>
        <v>66707746</v>
      </c>
      <c r="L22" s="82">
        <f t="shared" si="2"/>
        <v>732775604</v>
      </c>
      <c r="M22" s="44">
        <f t="shared" si="3"/>
        <v>0.2884417987420509</v>
      </c>
      <c r="N22" s="111">
        <f>SUM(N16:N21)</f>
        <v>518557810</v>
      </c>
      <c r="O22" s="112">
        <f>SUM(O16:O21)</f>
        <v>126028766</v>
      </c>
      <c r="P22" s="113">
        <f t="shared" si="4"/>
        <v>644586576</v>
      </c>
      <c r="Q22" s="44">
        <f t="shared" si="5"/>
        <v>0.2537280313529921</v>
      </c>
      <c r="R22" s="111">
        <f>SUM(R16:R21)</f>
        <v>519366135</v>
      </c>
      <c r="S22" s="113">
        <f>SUM(S16:S21)</f>
        <v>54263059</v>
      </c>
      <c r="T22" s="113">
        <f t="shared" si="6"/>
        <v>573629194</v>
      </c>
      <c r="U22" s="44">
        <f t="shared" si="7"/>
        <v>0.22340181560101982</v>
      </c>
      <c r="V22" s="111">
        <f>SUM(V16:V21)</f>
        <v>0</v>
      </c>
      <c r="W22" s="113">
        <f>SUM(W16:W21)</f>
        <v>0</v>
      </c>
      <c r="X22" s="113">
        <f t="shared" si="8"/>
        <v>0</v>
      </c>
      <c r="Y22" s="44">
        <f t="shared" si="9"/>
        <v>0</v>
      </c>
      <c r="Z22" s="81">
        <f t="shared" si="10"/>
        <v>1703991803</v>
      </c>
      <c r="AA22" s="82">
        <f t="shared" si="11"/>
        <v>246999571</v>
      </c>
      <c r="AB22" s="82">
        <f t="shared" si="12"/>
        <v>1950991374</v>
      </c>
      <c r="AC22" s="44">
        <f t="shared" si="13"/>
        <v>0.7598201411860643</v>
      </c>
      <c r="AD22" s="81">
        <f>SUM(AD16:AD21)</f>
        <v>406073067</v>
      </c>
      <c r="AE22" s="82">
        <f>SUM(AE16:AE21)</f>
        <v>67960881</v>
      </c>
      <c r="AF22" s="82">
        <f t="shared" si="14"/>
        <v>474033948</v>
      </c>
      <c r="AG22" s="44">
        <f>IF(848760103=0,0,615547133/848760103)</f>
        <v>0.7252309938041468</v>
      </c>
      <c r="AH22" s="44">
        <f t="shared" si="15"/>
        <v>0.210101505219622</v>
      </c>
      <c r="AI22" s="63">
        <f>SUM(AI16:AI21)</f>
        <v>2457170090</v>
      </c>
      <c r="AJ22" s="63">
        <f>SUM(AJ16:AJ21)</f>
        <v>2441548918</v>
      </c>
      <c r="AK22" s="63">
        <f>SUM(AK16:AK21)</f>
        <v>1677577683</v>
      </c>
      <c r="AL22" s="63"/>
    </row>
    <row r="23" spans="1:38" s="13" customFormat="1" ht="12.75">
      <c r="A23" s="29" t="s">
        <v>96</v>
      </c>
      <c r="B23" s="60" t="s">
        <v>574</v>
      </c>
      <c r="C23" s="39" t="s">
        <v>575</v>
      </c>
      <c r="D23" s="77">
        <v>346208437</v>
      </c>
      <c r="E23" s="78">
        <v>41363000</v>
      </c>
      <c r="F23" s="79">
        <f t="shared" si="0"/>
        <v>387571437</v>
      </c>
      <c r="G23" s="77">
        <v>346208437</v>
      </c>
      <c r="H23" s="78">
        <v>41363000</v>
      </c>
      <c r="I23" s="80">
        <f t="shared" si="1"/>
        <v>387571437</v>
      </c>
      <c r="J23" s="77">
        <v>74902381</v>
      </c>
      <c r="K23" s="78">
        <v>5643142</v>
      </c>
      <c r="L23" s="78">
        <f t="shared" si="2"/>
        <v>80545523</v>
      </c>
      <c r="M23" s="40">
        <f t="shared" si="3"/>
        <v>0.20782110163603207</v>
      </c>
      <c r="N23" s="105">
        <v>88198740</v>
      </c>
      <c r="O23" s="106">
        <v>2608040</v>
      </c>
      <c r="P23" s="107">
        <f t="shared" si="4"/>
        <v>90806780</v>
      </c>
      <c r="Q23" s="40">
        <f t="shared" si="5"/>
        <v>0.23429688395742124</v>
      </c>
      <c r="R23" s="105">
        <v>45827753</v>
      </c>
      <c r="S23" s="107">
        <v>3940086</v>
      </c>
      <c r="T23" s="107">
        <f t="shared" si="6"/>
        <v>49767839</v>
      </c>
      <c r="U23" s="40">
        <f t="shared" si="7"/>
        <v>0.12840946016359817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208928874</v>
      </c>
      <c r="AA23" s="78">
        <f t="shared" si="11"/>
        <v>12191268</v>
      </c>
      <c r="AB23" s="78">
        <f t="shared" si="12"/>
        <v>221120142</v>
      </c>
      <c r="AC23" s="40">
        <f t="shared" si="13"/>
        <v>0.5705274457570515</v>
      </c>
      <c r="AD23" s="77">
        <v>84435897</v>
      </c>
      <c r="AE23" s="78">
        <v>21426138</v>
      </c>
      <c r="AF23" s="78">
        <f t="shared" si="14"/>
        <v>105862035</v>
      </c>
      <c r="AG23" s="40">
        <f>IF(357116605=0,0,254183573/357116605)</f>
        <v>0.7117663234953748</v>
      </c>
      <c r="AH23" s="40">
        <f t="shared" si="15"/>
        <v>-0.5298801973719851</v>
      </c>
      <c r="AI23" s="12">
        <v>344220732</v>
      </c>
      <c r="AJ23" s="12">
        <v>357116605</v>
      </c>
      <c r="AK23" s="12">
        <v>254183573</v>
      </c>
      <c r="AL23" s="12"/>
    </row>
    <row r="24" spans="1:38" s="13" customFormat="1" ht="12.75">
      <c r="A24" s="29" t="s">
        <v>96</v>
      </c>
      <c r="B24" s="60" t="s">
        <v>576</v>
      </c>
      <c r="C24" s="39" t="s">
        <v>577</v>
      </c>
      <c r="D24" s="77">
        <v>138420352</v>
      </c>
      <c r="E24" s="78">
        <v>28723000</v>
      </c>
      <c r="F24" s="79">
        <f t="shared" si="0"/>
        <v>167143352</v>
      </c>
      <c r="G24" s="77">
        <v>164511211</v>
      </c>
      <c r="H24" s="78">
        <v>31079243</v>
      </c>
      <c r="I24" s="80">
        <f t="shared" si="1"/>
        <v>195590454</v>
      </c>
      <c r="J24" s="77">
        <v>48804497</v>
      </c>
      <c r="K24" s="78">
        <v>7336142</v>
      </c>
      <c r="L24" s="78">
        <f t="shared" si="2"/>
        <v>56140639</v>
      </c>
      <c r="M24" s="40">
        <f t="shared" si="3"/>
        <v>0.33588317051341654</v>
      </c>
      <c r="N24" s="105">
        <v>39020654</v>
      </c>
      <c r="O24" s="106">
        <v>5866788</v>
      </c>
      <c r="P24" s="107">
        <f t="shared" si="4"/>
        <v>44887442</v>
      </c>
      <c r="Q24" s="40">
        <f t="shared" si="5"/>
        <v>0.26855655018812835</v>
      </c>
      <c r="R24" s="105">
        <v>35143979</v>
      </c>
      <c r="S24" s="107">
        <v>11340509</v>
      </c>
      <c r="T24" s="107">
        <f t="shared" si="6"/>
        <v>46484488</v>
      </c>
      <c r="U24" s="40">
        <f t="shared" si="7"/>
        <v>0.2376623554439932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122969130</v>
      </c>
      <c r="AA24" s="78">
        <f t="shared" si="11"/>
        <v>24543439</v>
      </c>
      <c r="AB24" s="78">
        <f t="shared" si="12"/>
        <v>147512569</v>
      </c>
      <c r="AC24" s="40">
        <f t="shared" si="13"/>
        <v>0.7541910455404945</v>
      </c>
      <c r="AD24" s="77">
        <v>22292309</v>
      </c>
      <c r="AE24" s="78">
        <v>3439572</v>
      </c>
      <c r="AF24" s="78">
        <f t="shared" si="14"/>
        <v>25731881</v>
      </c>
      <c r="AG24" s="40">
        <f>IF(170272541=0,0,114109487/170272541)</f>
        <v>0.670157891165787</v>
      </c>
      <c r="AH24" s="40">
        <f t="shared" si="15"/>
        <v>0.8064939753141249</v>
      </c>
      <c r="AI24" s="12">
        <v>157923023</v>
      </c>
      <c r="AJ24" s="12">
        <v>170272541</v>
      </c>
      <c r="AK24" s="12">
        <v>114109487</v>
      </c>
      <c r="AL24" s="12"/>
    </row>
    <row r="25" spans="1:38" s="13" customFormat="1" ht="12.75">
      <c r="A25" s="29" t="s">
        <v>96</v>
      </c>
      <c r="B25" s="60" t="s">
        <v>578</v>
      </c>
      <c r="C25" s="39" t="s">
        <v>579</v>
      </c>
      <c r="D25" s="77">
        <v>210651923</v>
      </c>
      <c r="E25" s="78">
        <v>71110938</v>
      </c>
      <c r="F25" s="79">
        <f t="shared" si="0"/>
        <v>281762861</v>
      </c>
      <c r="G25" s="77">
        <v>210651923</v>
      </c>
      <c r="H25" s="78">
        <v>71110938</v>
      </c>
      <c r="I25" s="80">
        <f t="shared" si="1"/>
        <v>281762861</v>
      </c>
      <c r="J25" s="77">
        <v>88778939</v>
      </c>
      <c r="K25" s="78">
        <v>10212715</v>
      </c>
      <c r="L25" s="78">
        <f t="shared" si="2"/>
        <v>98991654</v>
      </c>
      <c r="M25" s="40">
        <f t="shared" si="3"/>
        <v>0.35132967364353956</v>
      </c>
      <c r="N25" s="105">
        <v>32257264</v>
      </c>
      <c r="O25" s="106">
        <v>10536196</v>
      </c>
      <c r="P25" s="107">
        <f t="shared" si="4"/>
        <v>42793460</v>
      </c>
      <c r="Q25" s="40">
        <f t="shared" si="5"/>
        <v>0.15187757480926486</v>
      </c>
      <c r="R25" s="105">
        <v>75710715</v>
      </c>
      <c r="S25" s="107">
        <v>12139735</v>
      </c>
      <c r="T25" s="107">
        <f t="shared" si="6"/>
        <v>87850450</v>
      </c>
      <c r="U25" s="40">
        <f t="shared" si="7"/>
        <v>0.3117886072288285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196746918</v>
      </c>
      <c r="AA25" s="78">
        <f t="shared" si="11"/>
        <v>32888646</v>
      </c>
      <c r="AB25" s="78">
        <f t="shared" si="12"/>
        <v>229635564</v>
      </c>
      <c r="AC25" s="40">
        <f t="shared" si="13"/>
        <v>0.8149958556816329</v>
      </c>
      <c r="AD25" s="77">
        <v>50320035</v>
      </c>
      <c r="AE25" s="78">
        <v>11115413</v>
      </c>
      <c r="AF25" s="78">
        <f t="shared" si="14"/>
        <v>61435448</v>
      </c>
      <c r="AG25" s="40">
        <f>IF(257143779=0,0,210315992/257143779)</f>
        <v>0.8178925922995011</v>
      </c>
      <c r="AH25" s="40">
        <f t="shared" si="15"/>
        <v>0.42996352854788333</v>
      </c>
      <c r="AI25" s="12">
        <v>235655779</v>
      </c>
      <c r="AJ25" s="12">
        <v>257143779</v>
      </c>
      <c r="AK25" s="12">
        <v>210315992</v>
      </c>
      <c r="AL25" s="12"/>
    </row>
    <row r="26" spans="1:38" s="13" customFormat="1" ht="12.75">
      <c r="A26" s="29" t="s">
        <v>96</v>
      </c>
      <c r="B26" s="60" t="s">
        <v>580</v>
      </c>
      <c r="C26" s="39" t="s">
        <v>581</v>
      </c>
      <c r="D26" s="77">
        <v>241285915</v>
      </c>
      <c r="E26" s="78">
        <v>20504000</v>
      </c>
      <c r="F26" s="79">
        <f t="shared" si="0"/>
        <v>261789915</v>
      </c>
      <c r="G26" s="77">
        <v>257841450</v>
      </c>
      <c r="H26" s="78">
        <v>23304150</v>
      </c>
      <c r="I26" s="80">
        <f t="shared" si="1"/>
        <v>281145600</v>
      </c>
      <c r="J26" s="77">
        <v>69179439</v>
      </c>
      <c r="K26" s="78">
        <v>3196044</v>
      </c>
      <c r="L26" s="78">
        <f t="shared" si="2"/>
        <v>72375483</v>
      </c>
      <c r="M26" s="40">
        <f t="shared" si="3"/>
        <v>0.2764639844892421</v>
      </c>
      <c r="N26" s="105">
        <v>63812759</v>
      </c>
      <c r="O26" s="106">
        <v>7984782</v>
      </c>
      <c r="P26" s="107">
        <f t="shared" si="4"/>
        <v>71797541</v>
      </c>
      <c r="Q26" s="40">
        <f t="shared" si="5"/>
        <v>0.274256328781802</v>
      </c>
      <c r="R26" s="105">
        <v>47440192</v>
      </c>
      <c r="S26" s="107">
        <v>5345410</v>
      </c>
      <c r="T26" s="107">
        <f t="shared" si="6"/>
        <v>52785602</v>
      </c>
      <c r="U26" s="40">
        <f t="shared" si="7"/>
        <v>0.18775183392519748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180432390</v>
      </c>
      <c r="AA26" s="78">
        <f t="shared" si="11"/>
        <v>16526236</v>
      </c>
      <c r="AB26" s="78">
        <f t="shared" si="12"/>
        <v>196958626</v>
      </c>
      <c r="AC26" s="40">
        <f t="shared" si="13"/>
        <v>0.7005573837897516</v>
      </c>
      <c r="AD26" s="77">
        <v>42593770</v>
      </c>
      <c r="AE26" s="78">
        <v>7192606</v>
      </c>
      <c r="AF26" s="78">
        <f t="shared" si="14"/>
        <v>49786376</v>
      </c>
      <c r="AG26" s="40">
        <f>IF(243564164=0,0,142691981/243564164)</f>
        <v>0.5858496531534089</v>
      </c>
      <c r="AH26" s="40">
        <f t="shared" si="15"/>
        <v>0.060241902322836216</v>
      </c>
      <c r="AI26" s="12">
        <v>225660318</v>
      </c>
      <c r="AJ26" s="12">
        <v>243564164</v>
      </c>
      <c r="AK26" s="12">
        <v>142691981</v>
      </c>
      <c r="AL26" s="12"/>
    </row>
    <row r="27" spans="1:38" s="13" customFormat="1" ht="12.75">
      <c r="A27" s="29" t="s">
        <v>96</v>
      </c>
      <c r="B27" s="60" t="s">
        <v>582</v>
      </c>
      <c r="C27" s="39" t="s">
        <v>583</v>
      </c>
      <c r="D27" s="77">
        <v>122736321</v>
      </c>
      <c r="E27" s="78">
        <v>60154000</v>
      </c>
      <c r="F27" s="79">
        <f t="shared" si="0"/>
        <v>182890321</v>
      </c>
      <c r="G27" s="77">
        <v>122736321</v>
      </c>
      <c r="H27" s="78">
        <v>60154000</v>
      </c>
      <c r="I27" s="80">
        <f t="shared" si="1"/>
        <v>182890321</v>
      </c>
      <c r="J27" s="77">
        <v>59529788</v>
      </c>
      <c r="K27" s="78">
        <v>14417111</v>
      </c>
      <c r="L27" s="78">
        <f t="shared" si="2"/>
        <v>73946899</v>
      </c>
      <c r="M27" s="40">
        <f t="shared" si="3"/>
        <v>0.404323742206128</v>
      </c>
      <c r="N27" s="105">
        <v>426906</v>
      </c>
      <c r="O27" s="106">
        <v>10779554</v>
      </c>
      <c r="P27" s="107">
        <f t="shared" si="4"/>
        <v>11206460</v>
      </c>
      <c r="Q27" s="40">
        <f t="shared" si="5"/>
        <v>0.06127421035036622</v>
      </c>
      <c r="R27" s="105">
        <v>0</v>
      </c>
      <c r="S27" s="107">
        <v>5714613</v>
      </c>
      <c r="T27" s="107">
        <f t="shared" si="6"/>
        <v>5714613</v>
      </c>
      <c r="U27" s="40">
        <f t="shared" si="7"/>
        <v>0.031246120454892744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59956694</v>
      </c>
      <c r="AA27" s="78">
        <f t="shared" si="11"/>
        <v>30911278</v>
      </c>
      <c r="AB27" s="78">
        <f t="shared" si="12"/>
        <v>90867972</v>
      </c>
      <c r="AC27" s="40">
        <f t="shared" si="13"/>
        <v>0.496844073011387</v>
      </c>
      <c r="AD27" s="77">
        <v>0</v>
      </c>
      <c r="AE27" s="78">
        <v>6621654</v>
      </c>
      <c r="AF27" s="78">
        <f t="shared" si="14"/>
        <v>6621654</v>
      </c>
      <c r="AG27" s="40">
        <f>IF(155683001=0,0,84090215/155683001)</f>
        <v>0.5401374232245176</v>
      </c>
      <c r="AH27" s="40">
        <f t="shared" si="15"/>
        <v>-0.13698103223152402</v>
      </c>
      <c r="AI27" s="12">
        <v>155683001</v>
      </c>
      <c r="AJ27" s="12">
        <v>155683001</v>
      </c>
      <c r="AK27" s="12">
        <v>84090215</v>
      </c>
      <c r="AL27" s="12"/>
    </row>
    <row r="28" spans="1:38" s="13" customFormat="1" ht="12.75">
      <c r="A28" s="29" t="s">
        <v>115</v>
      </c>
      <c r="B28" s="60" t="s">
        <v>584</v>
      </c>
      <c r="C28" s="39" t="s">
        <v>585</v>
      </c>
      <c r="D28" s="77">
        <v>315838000</v>
      </c>
      <c r="E28" s="78">
        <v>264864000</v>
      </c>
      <c r="F28" s="79">
        <f t="shared" si="0"/>
        <v>580702000</v>
      </c>
      <c r="G28" s="77">
        <v>315838000</v>
      </c>
      <c r="H28" s="78">
        <v>264864000</v>
      </c>
      <c r="I28" s="80">
        <f t="shared" si="1"/>
        <v>580702000</v>
      </c>
      <c r="J28" s="77">
        <v>109899517</v>
      </c>
      <c r="K28" s="78">
        <v>72888340</v>
      </c>
      <c r="L28" s="78">
        <f t="shared" si="2"/>
        <v>182787857</v>
      </c>
      <c r="M28" s="40">
        <f t="shared" si="3"/>
        <v>0.31477049674359653</v>
      </c>
      <c r="N28" s="105">
        <v>29518569</v>
      </c>
      <c r="O28" s="106">
        <v>71313846</v>
      </c>
      <c r="P28" s="107">
        <f t="shared" si="4"/>
        <v>100832415</v>
      </c>
      <c r="Q28" s="40">
        <f t="shared" si="5"/>
        <v>0.1736388285213414</v>
      </c>
      <c r="R28" s="105">
        <v>113886300</v>
      </c>
      <c r="S28" s="107">
        <v>47403631</v>
      </c>
      <c r="T28" s="107">
        <f t="shared" si="6"/>
        <v>161289931</v>
      </c>
      <c r="U28" s="40">
        <f t="shared" si="7"/>
        <v>0.2777499147583442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253304386</v>
      </c>
      <c r="AA28" s="78">
        <f t="shared" si="11"/>
        <v>191605817</v>
      </c>
      <c r="AB28" s="78">
        <f t="shared" si="12"/>
        <v>444910203</v>
      </c>
      <c r="AC28" s="40">
        <f t="shared" si="13"/>
        <v>0.7661592400232822</v>
      </c>
      <c r="AD28" s="77">
        <v>170699893</v>
      </c>
      <c r="AE28" s="78">
        <v>7231005</v>
      </c>
      <c r="AF28" s="78">
        <f t="shared" si="14"/>
        <v>177930898</v>
      </c>
      <c r="AG28" s="40">
        <f>IF(465755560=0,0,641536727/465755560)</f>
        <v>1.3774107753002456</v>
      </c>
      <c r="AH28" s="40">
        <f t="shared" si="15"/>
        <v>-0.09352488627354649</v>
      </c>
      <c r="AI28" s="12">
        <v>470434609</v>
      </c>
      <c r="AJ28" s="12">
        <v>465755560</v>
      </c>
      <c r="AK28" s="12">
        <v>641536727</v>
      </c>
      <c r="AL28" s="12"/>
    </row>
    <row r="29" spans="1:38" s="56" customFormat="1" ht="12.75">
      <c r="A29" s="61"/>
      <c r="B29" s="62" t="s">
        <v>586</v>
      </c>
      <c r="C29" s="32"/>
      <c r="D29" s="81">
        <f>SUM(D23:D28)</f>
        <v>1375140948</v>
      </c>
      <c r="E29" s="82">
        <f>SUM(E23:E28)</f>
        <v>486718938</v>
      </c>
      <c r="F29" s="90">
        <f t="shared" si="0"/>
        <v>1861859886</v>
      </c>
      <c r="G29" s="81">
        <f>SUM(G23:G28)</f>
        <v>1417787342</v>
      </c>
      <c r="H29" s="82">
        <f>SUM(H23:H28)</f>
        <v>491875331</v>
      </c>
      <c r="I29" s="83">
        <f t="shared" si="1"/>
        <v>1909662673</v>
      </c>
      <c r="J29" s="81">
        <f>SUM(J23:J28)</f>
        <v>451094561</v>
      </c>
      <c r="K29" s="82">
        <f>SUM(K23:K28)</f>
        <v>113693494</v>
      </c>
      <c r="L29" s="82">
        <f t="shared" si="2"/>
        <v>564788055</v>
      </c>
      <c r="M29" s="44">
        <f t="shared" si="3"/>
        <v>0.30334616436330486</v>
      </c>
      <c r="N29" s="111">
        <f>SUM(N23:N28)</f>
        <v>253234892</v>
      </c>
      <c r="O29" s="112">
        <f>SUM(O23:O28)</f>
        <v>109089206</v>
      </c>
      <c r="P29" s="113">
        <f t="shared" si="4"/>
        <v>362324098</v>
      </c>
      <c r="Q29" s="44">
        <f t="shared" si="5"/>
        <v>0.19460331076707027</v>
      </c>
      <c r="R29" s="111">
        <f>SUM(R23:R28)</f>
        <v>318008939</v>
      </c>
      <c r="S29" s="113">
        <f>SUM(S23:S28)</f>
        <v>85883984</v>
      </c>
      <c r="T29" s="113">
        <f t="shared" si="6"/>
        <v>403892923</v>
      </c>
      <c r="U29" s="44">
        <f t="shared" si="7"/>
        <v>0.21149961650844917</v>
      </c>
      <c r="V29" s="111">
        <f>SUM(V23:V28)</f>
        <v>0</v>
      </c>
      <c r="W29" s="113">
        <f>SUM(W23:W28)</f>
        <v>0</v>
      </c>
      <c r="X29" s="113">
        <f t="shared" si="8"/>
        <v>0</v>
      </c>
      <c r="Y29" s="44">
        <f t="shared" si="9"/>
        <v>0</v>
      </c>
      <c r="Z29" s="81">
        <f t="shared" si="10"/>
        <v>1022338392</v>
      </c>
      <c r="AA29" s="82">
        <f t="shared" si="11"/>
        <v>308666684</v>
      </c>
      <c r="AB29" s="82">
        <f t="shared" si="12"/>
        <v>1331005076</v>
      </c>
      <c r="AC29" s="44">
        <f t="shared" si="13"/>
        <v>0.6969843914417864</v>
      </c>
      <c r="AD29" s="81">
        <f>SUM(AD23:AD28)</f>
        <v>370341904</v>
      </c>
      <c r="AE29" s="82">
        <f>SUM(AE23:AE28)</f>
        <v>57026388</v>
      </c>
      <c r="AF29" s="82">
        <f t="shared" si="14"/>
        <v>427368292</v>
      </c>
      <c r="AG29" s="44">
        <f>IF(465755560=0,0,641536727/465755560)</f>
        <v>1.3774107753002456</v>
      </c>
      <c r="AH29" s="44">
        <f t="shared" si="15"/>
        <v>-0.054930067203020294</v>
      </c>
      <c r="AI29" s="63">
        <f>SUM(AI23:AI28)</f>
        <v>1589577462</v>
      </c>
      <c r="AJ29" s="63">
        <f>SUM(AJ23:AJ28)</f>
        <v>1649535650</v>
      </c>
      <c r="AK29" s="63">
        <f>SUM(AK23:AK28)</f>
        <v>1446927975</v>
      </c>
      <c r="AL29" s="63"/>
    </row>
    <row r="30" spans="1:38" s="13" customFormat="1" ht="12.75">
      <c r="A30" s="29" t="s">
        <v>96</v>
      </c>
      <c r="B30" s="60" t="s">
        <v>587</v>
      </c>
      <c r="C30" s="39" t="s">
        <v>588</v>
      </c>
      <c r="D30" s="77">
        <v>151507680</v>
      </c>
      <c r="E30" s="78">
        <v>26300000</v>
      </c>
      <c r="F30" s="80">
        <f t="shared" si="0"/>
        <v>177807680</v>
      </c>
      <c r="G30" s="77">
        <v>146800435</v>
      </c>
      <c r="H30" s="78">
        <v>44356313</v>
      </c>
      <c r="I30" s="80">
        <f t="shared" si="1"/>
        <v>191156748</v>
      </c>
      <c r="J30" s="77">
        <v>63485113</v>
      </c>
      <c r="K30" s="78">
        <v>1742550</v>
      </c>
      <c r="L30" s="78">
        <f t="shared" si="2"/>
        <v>65227663</v>
      </c>
      <c r="M30" s="40">
        <f t="shared" si="3"/>
        <v>0.36684390123081295</v>
      </c>
      <c r="N30" s="105">
        <v>24431559</v>
      </c>
      <c r="O30" s="106">
        <v>4149706</v>
      </c>
      <c r="P30" s="107">
        <f t="shared" si="4"/>
        <v>28581265</v>
      </c>
      <c r="Q30" s="40">
        <f t="shared" si="5"/>
        <v>0.16074257872325876</v>
      </c>
      <c r="R30" s="105">
        <v>19656763</v>
      </c>
      <c r="S30" s="107">
        <v>2958330</v>
      </c>
      <c r="T30" s="107">
        <f t="shared" si="6"/>
        <v>22615093</v>
      </c>
      <c r="U30" s="40">
        <f t="shared" si="7"/>
        <v>0.11830653762743443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107573435</v>
      </c>
      <c r="AA30" s="78">
        <f t="shared" si="11"/>
        <v>8850586</v>
      </c>
      <c r="AB30" s="78">
        <f t="shared" si="12"/>
        <v>116424021</v>
      </c>
      <c r="AC30" s="40">
        <f t="shared" si="13"/>
        <v>0.6090500189927901</v>
      </c>
      <c r="AD30" s="77">
        <v>18385588</v>
      </c>
      <c r="AE30" s="78">
        <v>3432102</v>
      </c>
      <c r="AF30" s="78">
        <f t="shared" si="14"/>
        <v>21817690</v>
      </c>
      <c r="AG30" s="40">
        <f>IF(172069773=0,0,105049911/172069773)</f>
        <v>0.610507639828176</v>
      </c>
      <c r="AH30" s="40">
        <f t="shared" si="15"/>
        <v>0.0365484613632332</v>
      </c>
      <c r="AI30" s="12">
        <v>166558749</v>
      </c>
      <c r="AJ30" s="12">
        <v>172069773</v>
      </c>
      <c r="AK30" s="12">
        <v>105049911</v>
      </c>
      <c r="AL30" s="12"/>
    </row>
    <row r="31" spans="1:38" s="13" customFormat="1" ht="12.75">
      <c r="A31" s="29" t="s">
        <v>96</v>
      </c>
      <c r="B31" s="60" t="s">
        <v>90</v>
      </c>
      <c r="C31" s="39" t="s">
        <v>91</v>
      </c>
      <c r="D31" s="77">
        <v>1085208711</v>
      </c>
      <c r="E31" s="78">
        <v>224076728</v>
      </c>
      <c r="F31" s="79">
        <f t="shared" si="0"/>
        <v>1309285439</v>
      </c>
      <c r="G31" s="77">
        <v>1085208711</v>
      </c>
      <c r="H31" s="78">
        <v>224076728</v>
      </c>
      <c r="I31" s="80">
        <f t="shared" si="1"/>
        <v>1309285439</v>
      </c>
      <c r="J31" s="77">
        <v>350552454</v>
      </c>
      <c r="K31" s="78">
        <v>39953661</v>
      </c>
      <c r="L31" s="78">
        <f t="shared" si="2"/>
        <v>390506115</v>
      </c>
      <c r="M31" s="40">
        <f t="shared" si="3"/>
        <v>0.29825896123786344</v>
      </c>
      <c r="N31" s="105">
        <v>287526903</v>
      </c>
      <c r="O31" s="106">
        <v>61834988</v>
      </c>
      <c r="P31" s="107">
        <f t="shared" si="4"/>
        <v>349361891</v>
      </c>
      <c r="Q31" s="40">
        <f t="shared" si="5"/>
        <v>0.2668340154052534</v>
      </c>
      <c r="R31" s="105">
        <v>239879948</v>
      </c>
      <c r="S31" s="107">
        <v>36451761</v>
      </c>
      <c r="T31" s="107">
        <f t="shared" si="6"/>
        <v>276331709</v>
      </c>
      <c r="U31" s="40">
        <f t="shared" si="7"/>
        <v>0.21105535948758078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877959305</v>
      </c>
      <c r="AA31" s="78">
        <f t="shared" si="11"/>
        <v>138240410</v>
      </c>
      <c r="AB31" s="78">
        <f t="shared" si="12"/>
        <v>1016199715</v>
      </c>
      <c r="AC31" s="40">
        <f t="shared" si="13"/>
        <v>0.7761483361306977</v>
      </c>
      <c r="AD31" s="77">
        <v>263950277</v>
      </c>
      <c r="AE31" s="78">
        <v>51190920</v>
      </c>
      <c r="AF31" s="78">
        <f t="shared" si="14"/>
        <v>315141197</v>
      </c>
      <c r="AG31" s="40">
        <f>IF(1376498364=0,0,951027117/1376498364)</f>
        <v>0.6909031945642037</v>
      </c>
      <c r="AH31" s="40">
        <f t="shared" si="15"/>
        <v>-0.12314952272012858</v>
      </c>
      <c r="AI31" s="12">
        <v>1217710599</v>
      </c>
      <c r="AJ31" s="12">
        <v>1376498364</v>
      </c>
      <c r="AK31" s="12">
        <v>951027117</v>
      </c>
      <c r="AL31" s="12"/>
    </row>
    <row r="32" spans="1:38" s="13" customFormat="1" ht="12.75">
      <c r="A32" s="29" t="s">
        <v>96</v>
      </c>
      <c r="B32" s="60" t="s">
        <v>56</v>
      </c>
      <c r="C32" s="39" t="s">
        <v>57</v>
      </c>
      <c r="D32" s="77">
        <v>2380228180</v>
      </c>
      <c r="E32" s="78">
        <v>138927364</v>
      </c>
      <c r="F32" s="79">
        <f t="shared" si="0"/>
        <v>2519155544</v>
      </c>
      <c r="G32" s="77">
        <v>2363447992</v>
      </c>
      <c r="H32" s="78">
        <v>143005289</v>
      </c>
      <c r="I32" s="80">
        <f t="shared" si="1"/>
        <v>2506453281</v>
      </c>
      <c r="J32" s="77">
        <v>826016430</v>
      </c>
      <c r="K32" s="78">
        <v>5292158</v>
      </c>
      <c r="L32" s="78">
        <f t="shared" si="2"/>
        <v>831308588</v>
      </c>
      <c r="M32" s="40">
        <f t="shared" si="3"/>
        <v>0.32999494214637504</v>
      </c>
      <c r="N32" s="105">
        <v>565998200</v>
      </c>
      <c r="O32" s="106">
        <v>21557868</v>
      </c>
      <c r="P32" s="107">
        <f t="shared" si="4"/>
        <v>587556068</v>
      </c>
      <c r="Q32" s="40">
        <f t="shared" si="5"/>
        <v>0.23323532736968622</v>
      </c>
      <c r="R32" s="105">
        <v>581037688</v>
      </c>
      <c r="S32" s="107">
        <v>21661955</v>
      </c>
      <c r="T32" s="107">
        <f t="shared" si="6"/>
        <v>602699643</v>
      </c>
      <c r="U32" s="40">
        <f t="shared" si="7"/>
        <v>0.24045915699635176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1973052318</v>
      </c>
      <c r="AA32" s="78">
        <f t="shared" si="11"/>
        <v>48511981</v>
      </c>
      <c r="AB32" s="78">
        <f t="shared" si="12"/>
        <v>2021564299</v>
      </c>
      <c r="AC32" s="40">
        <f t="shared" si="13"/>
        <v>0.8065437781443332</v>
      </c>
      <c r="AD32" s="77">
        <v>388629412</v>
      </c>
      <c r="AE32" s="78">
        <v>23545976</v>
      </c>
      <c r="AF32" s="78">
        <f t="shared" si="14"/>
        <v>412175388</v>
      </c>
      <c r="AG32" s="40">
        <f>IF(2275625921=0,0,1393700645/2275625921)</f>
        <v>0.6124471654759288</v>
      </c>
      <c r="AH32" s="40">
        <f t="shared" si="15"/>
        <v>0.4622407367030852</v>
      </c>
      <c r="AI32" s="12">
        <v>2129961390</v>
      </c>
      <c r="AJ32" s="12">
        <v>2275625921</v>
      </c>
      <c r="AK32" s="12">
        <v>1393700645</v>
      </c>
      <c r="AL32" s="12"/>
    </row>
    <row r="33" spans="1:38" s="13" customFormat="1" ht="12.75">
      <c r="A33" s="29" t="s">
        <v>96</v>
      </c>
      <c r="B33" s="60" t="s">
        <v>589</v>
      </c>
      <c r="C33" s="39" t="s">
        <v>590</v>
      </c>
      <c r="D33" s="77">
        <v>360484516</v>
      </c>
      <c r="E33" s="78">
        <v>27235301</v>
      </c>
      <c r="F33" s="79">
        <f t="shared" si="0"/>
        <v>387719817</v>
      </c>
      <c r="G33" s="77">
        <v>360484516</v>
      </c>
      <c r="H33" s="78">
        <v>27235301</v>
      </c>
      <c r="I33" s="80">
        <f t="shared" si="1"/>
        <v>387719817</v>
      </c>
      <c r="J33" s="77">
        <v>89172720</v>
      </c>
      <c r="K33" s="78">
        <v>7913124</v>
      </c>
      <c r="L33" s="78">
        <f t="shared" si="2"/>
        <v>97085844</v>
      </c>
      <c r="M33" s="40">
        <f t="shared" si="3"/>
        <v>0.25040206804802034</v>
      </c>
      <c r="N33" s="105">
        <v>80187120</v>
      </c>
      <c r="O33" s="106">
        <v>13893639</v>
      </c>
      <c r="P33" s="107">
        <f t="shared" si="4"/>
        <v>94080759</v>
      </c>
      <c r="Q33" s="40">
        <f t="shared" si="5"/>
        <v>0.24265140669866767</v>
      </c>
      <c r="R33" s="105">
        <v>205499275</v>
      </c>
      <c r="S33" s="107">
        <v>2665047</v>
      </c>
      <c r="T33" s="107">
        <f t="shared" si="6"/>
        <v>208164322</v>
      </c>
      <c r="U33" s="40">
        <f t="shared" si="7"/>
        <v>0.5368936868140531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374859115</v>
      </c>
      <c r="AA33" s="78">
        <f t="shared" si="11"/>
        <v>24471810</v>
      </c>
      <c r="AB33" s="78">
        <f t="shared" si="12"/>
        <v>399330925</v>
      </c>
      <c r="AC33" s="40">
        <f t="shared" si="13"/>
        <v>1.0299471615607412</v>
      </c>
      <c r="AD33" s="77">
        <v>49213588</v>
      </c>
      <c r="AE33" s="78">
        <v>18867517</v>
      </c>
      <c r="AF33" s="78">
        <f t="shared" si="14"/>
        <v>68081105</v>
      </c>
      <c r="AG33" s="40">
        <f>IF(356649852=0,0,235110219/356649852)</f>
        <v>0.659218608059313</v>
      </c>
      <c r="AH33" s="40">
        <f t="shared" si="15"/>
        <v>2.0575931750813976</v>
      </c>
      <c r="AI33" s="12">
        <v>365125296</v>
      </c>
      <c r="AJ33" s="12">
        <v>356649852</v>
      </c>
      <c r="AK33" s="12">
        <v>235110219</v>
      </c>
      <c r="AL33" s="12"/>
    </row>
    <row r="34" spans="1:38" s="13" customFormat="1" ht="12.75">
      <c r="A34" s="29" t="s">
        <v>115</v>
      </c>
      <c r="B34" s="60" t="s">
        <v>591</v>
      </c>
      <c r="C34" s="39" t="s">
        <v>592</v>
      </c>
      <c r="D34" s="77">
        <v>181567600</v>
      </c>
      <c r="E34" s="78">
        <v>5572200</v>
      </c>
      <c r="F34" s="79">
        <f t="shared" si="0"/>
        <v>187139800</v>
      </c>
      <c r="G34" s="77">
        <v>191617600</v>
      </c>
      <c r="H34" s="78">
        <v>8617761</v>
      </c>
      <c r="I34" s="80">
        <f t="shared" si="1"/>
        <v>200235361</v>
      </c>
      <c r="J34" s="77">
        <v>72662422</v>
      </c>
      <c r="K34" s="78">
        <v>218978</v>
      </c>
      <c r="L34" s="78">
        <f t="shared" si="2"/>
        <v>72881400</v>
      </c>
      <c r="M34" s="40">
        <f t="shared" si="3"/>
        <v>0.3894489574104493</v>
      </c>
      <c r="N34" s="105">
        <v>56363883</v>
      </c>
      <c r="O34" s="106">
        <v>96604</v>
      </c>
      <c r="P34" s="107">
        <f t="shared" si="4"/>
        <v>56460487</v>
      </c>
      <c r="Q34" s="40">
        <f t="shared" si="5"/>
        <v>0.30170218734870935</v>
      </c>
      <c r="R34" s="105">
        <v>42334594</v>
      </c>
      <c r="S34" s="107">
        <v>1645117</v>
      </c>
      <c r="T34" s="107">
        <f t="shared" si="6"/>
        <v>43979711</v>
      </c>
      <c r="U34" s="40">
        <f t="shared" si="7"/>
        <v>0.2196400814539446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171360899</v>
      </c>
      <c r="AA34" s="78">
        <f t="shared" si="11"/>
        <v>1960699</v>
      </c>
      <c r="AB34" s="78">
        <f t="shared" si="12"/>
        <v>173321598</v>
      </c>
      <c r="AC34" s="40">
        <f t="shared" si="13"/>
        <v>0.8655893601130721</v>
      </c>
      <c r="AD34" s="77">
        <v>47620171</v>
      </c>
      <c r="AE34" s="78">
        <v>1267713</v>
      </c>
      <c r="AF34" s="78">
        <f t="shared" si="14"/>
        <v>48887884</v>
      </c>
      <c r="AG34" s="40">
        <f>IF(194823800=0,0,173989530/194823800)</f>
        <v>0.893060960724511</v>
      </c>
      <c r="AH34" s="40">
        <f t="shared" si="15"/>
        <v>-0.1003965113319284</v>
      </c>
      <c r="AI34" s="12">
        <v>194383800</v>
      </c>
      <c r="AJ34" s="12">
        <v>194823800</v>
      </c>
      <c r="AK34" s="12">
        <v>173989530</v>
      </c>
      <c r="AL34" s="12"/>
    </row>
    <row r="35" spans="1:38" s="56" customFormat="1" ht="12.75">
      <c r="A35" s="61"/>
      <c r="B35" s="62" t="s">
        <v>593</v>
      </c>
      <c r="C35" s="32"/>
      <c r="D35" s="81">
        <f>SUM(D30:D34)</f>
        <v>4158996687</v>
      </c>
      <c r="E35" s="82">
        <f>SUM(E30:E34)</f>
        <v>422111593</v>
      </c>
      <c r="F35" s="90">
        <f t="shared" si="0"/>
        <v>4581108280</v>
      </c>
      <c r="G35" s="81">
        <f>SUM(G30:G34)</f>
        <v>4147559254</v>
      </c>
      <c r="H35" s="82">
        <f>SUM(H30:H34)</f>
        <v>447291392</v>
      </c>
      <c r="I35" s="83">
        <f t="shared" si="1"/>
        <v>4594850646</v>
      </c>
      <c r="J35" s="81">
        <f>SUM(J30:J34)</f>
        <v>1401889139</v>
      </c>
      <c r="K35" s="82">
        <f>SUM(K30:K34)</f>
        <v>55120471</v>
      </c>
      <c r="L35" s="82">
        <f t="shared" si="2"/>
        <v>1457009610</v>
      </c>
      <c r="M35" s="44">
        <f t="shared" si="3"/>
        <v>0.3180474070785334</v>
      </c>
      <c r="N35" s="111">
        <f>SUM(N30:N34)</f>
        <v>1014507665</v>
      </c>
      <c r="O35" s="112">
        <f>SUM(O30:O34)</f>
        <v>101532805</v>
      </c>
      <c r="P35" s="113">
        <f t="shared" si="4"/>
        <v>1116040470</v>
      </c>
      <c r="Q35" s="44">
        <f t="shared" si="5"/>
        <v>0.2436180072128747</v>
      </c>
      <c r="R35" s="111">
        <f>SUM(R30:R34)</f>
        <v>1088408268</v>
      </c>
      <c r="S35" s="113">
        <f>SUM(S30:S34)</f>
        <v>65382210</v>
      </c>
      <c r="T35" s="113">
        <f t="shared" si="6"/>
        <v>1153790478</v>
      </c>
      <c r="U35" s="44">
        <f t="shared" si="7"/>
        <v>0.25110511023996407</v>
      </c>
      <c r="V35" s="111">
        <f>SUM(V30:V34)</f>
        <v>0</v>
      </c>
      <c r="W35" s="113">
        <f>SUM(W30:W34)</f>
        <v>0</v>
      </c>
      <c r="X35" s="113">
        <f t="shared" si="8"/>
        <v>0</v>
      </c>
      <c r="Y35" s="44">
        <f t="shared" si="9"/>
        <v>0</v>
      </c>
      <c r="Z35" s="81">
        <f t="shared" si="10"/>
        <v>3504805072</v>
      </c>
      <c r="AA35" s="82">
        <f t="shared" si="11"/>
        <v>222035486</v>
      </c>
      <c r="AB35" s="82">
        <f t="shared" si="12"/>
        <v>3726840558</v>
      </c>
      <c r="AC35" s="44">
        <f t="shared" si="13"/>
        <v>0.8110906850137475</v>
      </c>
      <c r="AD35" s="81">
        <f>SUM(AD30:AD34)</f>
        <v>767799036</v>
      </c>
      <c r="AE35" s="82">
        <f>SUM(AE30:AE34)</f>
        <v>98304228</v>
      </c>
      <c r="AF35" s="82">
        <f t="shared" si="14"/>
        <v>866103264</v>
      </c>
      <c r="AG35" s="44">
        <f>IF(194823800=0,0,173989530/194823800)</f>
        <v>0.893060960724511</v>
      </c>
      <c r="AH35" s="44">
        <f t="shared" si="15"/>
        <v>0.3321627177241535</v>
      </c>
      <c r="AI35" s="63">
        <f>SUM(AI30:AI34)</f>
        <v>4073739834</v>
      </c>
      <c r="AJ35" s="63">
        <f>SUM(AJ30:AJ34)</f>
        <v>4375667710</v>
      </c>
      <c r="AK35" s="63">
        <f>SUM(AK30:AK34)</f>
        <v>2858877422</v>
      </c>
      <c r="AL35" s="63"/>
    </row>
    <row r="36" spans="1:38" s="56" customFormat="1" ht="12.75">
      <c r="A36" s="61"/>
      <c r="B36" s="62" t="s">
        <v>594</v>
      </c>
      <c r="C36" s="32"/>
      <c r="D36" s="81">
        <f>SUM(D9:D14,D16:D21,D23:D28,D30:D34)</f>
        <v>14006607229</v>
      </c>
      <c r="E36" s="82">
        <f>SUM(E9:E14,E16:E21,E23:E28,E30:E34)</f>
        <v>3116767033</v>
      </c>
      <c r="F36" s="83">
        <f t="shared" si="0"/>
        <v>17123374262</v>
      </c>
      <c r="G36" s="81">
        <f>SUM(G9:G14,G16:G21,G23:G28,G30:G34)</f>
        <v>14082779057</v>
      </c>
      <c r="H36" s="82">
        <f>SUM(H9:H14,H16:H21,H23:H28,H30:H34)</f>
        <v>3222234258</v>
      </c>
      <c r="I36" s="90">
        <f t="shared" si="1"/>
        <v>17305013315</v>
      </c>
      <c r="J36" s="81">
        <f>SUM(J9:J14,J16:J21,J23:J28,J30:J34)</f>
        <v>4414017501</v>
      </c>
      <c r="K36" s="92">
        <f>SUM(K9:K14,K16:K21,K23:K28,K30:K34)</f>
        <v>433634871</v>
      </c>
      <c r="L36" s="82">
        <f t="shared" si="2"/>
        <v>4847652372</v>
      </c>
      <c r="M36" s="44">
        <f t="shared" si="3"/>
        <v>0.28310146690876553</v>
      </c>
      <c r="N36" s="111">
        <f>SUM(N9:N14,N16:N21,N23:N28,N30:N34)</f>
        <v>3109050335</v>
      </c>
      <c r="O36" s="112">
        <f>SUM(O9:O14,O16:O21,O23:O28,O30:O34)</f>
        <v>630118998</v>
      </c>
      <c r="P36" s="113">
        <f t="shared" si="4"/>
        <v>3739169333</v>
      </c>
      <c r="Q36" s="44">
        <f t="shared" si="5"/>
        <v>0.21836638479005407</v>
      </c>
      <c r="R36" s="111">
        <f>SUM(R9:R14,R16:R21,R23:R28,R30:R34)</f>
        <v>3435332772</v>
      </c>
      <c r="S36" s="113">
        <f>SUM(S9:S14,S16:S21,S23:S28,S30:S34)</f>
        <v>565653607</v>
      </c>
      <c r="T36" s="113">
        <f t="shared" si="6"/>
        <v>4000986379</v>
      </c>
      <c r="U36" s="44">
        <f t="shared" si="7"/>
        <v>0.23120388907946934</v>
      </c>
      <c r="V36" s="111">
        <f>SUM(V9:V14,V16:V21,V23:V28,V30:V34)</f>
        <v>0</v>
      </c>
      <c r="W36" s="113">
        <f>SUM(W9:W14,W16:W21,W23:W28,W30:W34)</f>
        <v>0</v>
      </c>
      <c r="X36" s="113">
        <f t="shared" si="8"/>
        <v>0</v>
      </c>
      <c r="Y36" s="44">
        <f t="shared" si="9"/>
        <v>0</v>
      </c>
      <c r="Z36" s="81">
        <f t="shared" si="10"/>
        <v>10958400608</v>
      </c>
      <c r="AA36" s="82">
        <f t="shared" si="11"/>
        <v>1629407476</v>
      </c>
      <c r="AB36" s="82">
        <f t="shared" si="12"/>
        <v>12587808084</v>
      </c>
      <c r="AC36" s="44">
        <f t="shared" si="13"/>
        <v>0.7274081709656286</v>
      </c>
      <c r="AD36" s="81">
        <f>SUM(AD9:AD14,AD16:AD21,AD23:AD28,AD30:AD34)</f>
        <v>2808585163</v>
      </c>
      <c r="AE36" s="82">
        <f>SUM(AE9:AE14,AE16:AE21,AE23:AE28,AE30:AE34)</f>
        <v>521486854</v>
      </c>
      <c r="AF36" s="82">
        <f t="shared" si="14"/>
        <v>3330072017</v>
      </c>
      <c r="AG36" s="44">
        <f>IF(194823800=0,0,173989530/194823800)</f>
        <v>0.893060960724511</v>
      </c>
      <c r="AH36" s="44">
        <f t="shared" si="15"/>
        <v>0.2014714272168847</v>
      </c>
      <c r="AI36" s="63">
        <f>SUM(AI9:AI14,AI16:AI21,AI23:AI28,AI30:AI34)</f>
        <v>16032827022</v>
      </c>
      <c r="AJ36" s="63">
        <f>SUM(AJ9:AJ14,AJ16:AJ21,AJ23:AJ28,AJ30:AJ34)</f>
        <v>16455472353</v>
      </c>
      <c r="AK36" s="63">
        <f>SUM(AK9:AK14,AK16:AK21,AK23:AK28,AK30:AK34)</f>
        <v>11108919874</v>
      </c>
      <c r="AL36" s="63"/>
    </row>
    <row r="37" spans="1:38" s="13" customFormat="1" ht="12.75">
      <c r="A37" s="64"/>
      <c r="B37" s="65"/>
      <c r="C37" s="66"/>
      <c r="D37" s="93"/>
      <c r="E37" s="93"/>
      <c r="F37" s="94"/>
      <c r="G37" s="95"/>
      <c r="H37" s="93"/>
      <c r="I37" s="96"/>
      <c r="J37" s="95"/>
      <c r="K37" s="97"/>
      <c r="L37" s="93"/>
      <c r="M37" s="70"/>
      <c r="N37" s="95"/>
      <c r="O37" s="97"/>
      <c r="P37" s="93"/>
      <c r="Q37" s="70"/>
      <c r="R37" s="95"/>
      <c r="S37" s="97"/>
      <c r="T37" s="93"/>
      <c r="U37" s="70"/>
      <c r="V37" s="95"/>
      <c r="W37" s="97"/>
      <c r="X37" s="93"/>
      <c r="Y37" s="70"/>
      <c r="Z37" s="95"/>
      <c r="AA37" s="97"/>
      <c r="AB37" s="93"/>
      <c r="AC37" s="70"/>
      <c r="AD37" s="95"/>
      <c r="AE37" s="93"/>
      <c r="AF37" s="93"/>
      <c r="AG37" s="70"/>
      <c r="AH37" s="70"/>
      <c r="AI37" s="12"/>
      <c r="AJ37" s="12"/>
      <c r="AK37" s="12"/>
      <c r="AL37" s="12"/>
    </row>
    <row r="38" spans="1:38" s="13" customFormat="1" ht="12.75">
      <c r="A38" s="12"/>
      <c r="B38" s="57"/>
      <c r="C38" s="12"/>
      <c r="D38" s="88"/>
      <c r="E38" s="88"/>
      <c r="F38" s="88"/>
      <c r="G38" s="88"/>
      <c r="H38" s="88"/>
      <c r="I38" s="88"/>
      <c r="J38" s="88"/>
      <c r="K38" s="88"/>
      <c r="L38" s="88"/>
      <c r="M38" s="12"/>
      <c r="N38" s="88"/>
      <c r="O38" s="88"/>
      <c r="P38" s="88"/>
      <c r="Q38" s="12"/>
      <c r="R38" s="88"/>
      <c r="S38" s="88"/>
      <c r="T38" s="88"/>
      <c r="U38" s="12"/>
      <c r="V38" s="88"/>
      <c r="W38" s="88"/>
      <c r="X38" s="88"/>
      <c r="Y38" s="12"/>
      <c r="Z38" s="88"/>
      <c r="AA38" s="88"/>
      <c r="AB38" s="88"/>
      <c r="AC38" s="12"/>
      <c r="AD38" s="88"/>
      <c r="AE38" s="88"/>
      <c r="AF38" s="88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0" t="s">
        <v>42</v>
      </c>
      <c r="C9" s="39" t="s">
        <v>43</v>
      </c>
      <c r="D9" s="77">
        <v>31723842516</v>
      </c>
      <c r="E9" s="78">
        <v>5780819331</v>
      </c>
      <c r="F9" s="79">
        <f>$D9+$E9</f>
        <v>37504661847</v>
      </c>
      <c r="G9" s="77">
        <v>32531966162</v>
      </c>
      <c r="H9" s="78">
        <v>6129094187</v>
      </c>
      <c r="I9" s="80">
        <f>$G9+$H9</f>
        <v>38661060349</v>
      </c>
      <c r="J9" s="77">
        <v>7760646744</v>
      </c>
      <c r="K9" s="78">
        <v>735280317</v>
      </c>
      <c r="L9" s="78">
        <f>$J9+$K9</f>
        <v>8495927061</v>
      </c>
      <c r="M9" s="40">
        <f>IF($F9=0,0,$L9/$F9)</f>
        <v>0.2265298936878587</v>
      </c>
      <c r="N9" s="105">
        <v>8438631293</v>
      </c>
      <c r="O9" s="106">
        <v>1156924800</v>
      </c>
      <c r="P9" s="107">
        <f>$N9+$O9</f>
        <v>9595556093</v>
      </c>
      <c r="Q9" s="40">
        <f>IF($F9=0,0,$P9/$F9)</f>
        <v>0.255849689623786</v>
      </c>
      <c r="R9" s="105">
        <v>8421827315</v>
      </c>
      <c r="S9" s="107">
        <v>855087702</v>
      </c>
      <c r="T9" s="107">
        <f>$R9+$S9</f>
        <v>9276915017</v>
      </c>
      <c r="U9" s="40">
        <f>IF($I9=0,0,$T9/$I9)</f>
        <v>0.2399550072671495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24621105352</v>
      </c>
      <c r="AA9" s="78">
        <f>$K9+$O9+$S9</f>
        <v>2747292819</v>
      </c>
      <c r="AB9" s="78">
        <f>$Z9+$AA9</f>
        <v>27368398171</v>
      </c>
      <c r="AC9" s="40">
        <f>IF($I9=0,0,$AB9/$I9)</f>
        <v>0.7079060409606149</v>
      </c>
      <c r="AD9" s="77">
        <v>8151257652</v>
      </c>
      <c r="AE9" s="78">
        <v>734326787</v>
      </c>
      <c r="AF9" s="78">
        <f>$AD9+$AE9</f>
        <v>8885584439</v>
      </c>
      <c r="AG9" s="40">
        <f>IF(35248845055=0,0,25062648674/35248845055)</f>
        <v>0.7110204216590325</v>
      </c>
      <c r="AH9" s="40">
        <f>IF($AF9=0,0,(($T9/$AF9)-1))</f>
        <v>0.04404106231689142</v>
      </c>
      <c r="AI9" s="12">
        <v>34647525714</v>
      </c>
      <c r="AJ9" s="12">
        <v>35248845055</v>
      </c>
      <c r="AK9" s="12">
        <v>25062648674</v>
      </c>
      <c r="AL9" s="12"/>
    </row>
    <row r="10" spans="1:38" s="56" customFormat="1" ht="12.75">
      <c r="A10" s="61"/>
      <c r="B10" s="62" t="s">
        <v>95</v>
      </c>
      <c r="C10" s="32"/>
      <c r="D10" s="81">
        <f>D9</f>
        <v>31723842516</v>
      </c>
      <c r="E10" s="82">
        <f>E9</f>
        <v>5780819331</v>
      </c>
      <c r="F10" s="83">
        <f aca="true" t="shared" si="0" ref="F10:F45">$D10+$E10</f>
        <v>37504661847</v>
      </c>
      <c r="G10" s="81">
        <f>G9</f>
        <v>32531966162</v>
      </c>
      <c r="H10" s="82">
        <f>H9</f>
        <v>6129094187</v>
      </c>
      <c r="I10" s="83">
        <f aca="true" t="shared" si="1" ref="I10:I45">$G10+$H10</f>
        <v>38661060349</v>
      </c>
      <c r="J10" s="81">
        <f>J9</f>
        <v>7760646744</v>
      </c>
      <c r="K10" s="82">
        <f>K9</f>
        <v>735280317</v>
      </c>
      <c r="L10" s="82">
        <f aca="true" t="shared" si="2" ref="L10:L45">$J10+$K10</f>
        <v>8495927061</v>
      </c>
      <c r="M10" s="44">
        <f aca="true" t="shared" si="3" ref="M10:M45">IF($F10=0,0,$L10/$F10)</f>
        <v>0.2265298936878587</v>
      </c>
      <c r="N10" s="111">
        <f>N9</f>
        <v>8438631293</v>
      </c>
      <c r="O10" s="112">
        <f>O9</f>
        <v>1156924800</v>
      </c>
      <c r="P10" s="113">
        <f aca="true" t="shared" si="4" ref="P10:P45">$N10+$O10</f>
        <v>9595556093</v>
      </c>
      <c r="Q10" s="44">
        <f aca="true" t="shared" si="5" ref="Q10:Q45">IF($F10=0,0,$P10/$F10)</f>
        <v>0.255849689623786</v>
      </c>
      <c r="R10" s="111">
        <f>R9</f>
        <v>8421827315</v>
      </c>
      <c r="S10" s="113">
        <f>S9</f>
        <v>855087702</v>
      </c>
      <c r="T10" s="113">
        <f aca="true" t="shared" si="6" ref="T10:T45">$R10+$S10</f>
        <v>9276915017</v>
      </c>
      <c r="U10" s="44">
        <f aca="true" t="shared" si="7" ref="U10:U45">IF($I10=0,0,$T10/$I10)</f>
        <v>0.2399550072671495</v>
      </c>
      <c r="V10" s="111">
        <f>V9</f>
        <v>0</v>
      </c>
      <c r="W10" s="113">
        <f>W9</f>
        <v>0</v>
      </c>
      <c r="X10" s="113">
        <f aca="true" t="shared" si="8" ref="X10:X45">$V10+$W10</f>
        <v>0</v>
      </c>
      <c r="Y10" s="44">
        <f aca="true" t="shared" si="9" ref="Y10:Y45">IF($I10=0,0,$X10/$I10)</f>
        <v>0</v>
      </c>
      <c r="Z10" s="81">
        <f aca="true" t="shared" si="10" ref="Z10:Z45">$J10+$N10+$R10</f>
        <v>24621105352</v>
      </c>
      <c r="AA10" s="82">
        <f aca="true" t="shared" si="11" ref="AA10:AA45">$K10+$O10+$S10</f>
        <v>2747292819</v>
      </c>
      <c r="AB10" s="82">
        <f aca="true" t="shared" si="12" ref="AB10:AB45">$Z10+$AA10</f>
        <v>27368398171</v>
      </c>
      <c r="AC10" s="44">
        <f aca="true" t="shared" si="13" ref="AC10:AC45">IF($I10=0,0,$AB10/$I10)</f>
        <v>0.7079060409606149</v>
      </c>
      <c r="AD10" s="81">
        <f>AD9</f>
        <v>8151257652</v>
      </c>
      <c r="AE10" s="82">
        <f>AE9</f>
        <v>734326787</v>
      </c>
      <c r="AF10" s="82">
        <f aca="true" t="shared" si="14" ref="AF10:AF45">$AD10+$AE10</f>
        <v>8885584439</v>
      </c>
      <c r="AG10" s="44">
        <f>IF(35248845055=0,0,25062648674/35248845055)</f>
        <v>0.7110204216590325</v>
      </c>
      <c r="AH10" s="44">
        <f aca="true" t="shared" si="15" ref="AH10:AH45">IF($AF10=0,0,(($T10/$AF10)-1))</f>
        <v>0.04404106231689142</v>
      </c>
      <c r="AI10" s="63">
        <f>AI9</f>
        <v>34647525714</v>
      </c>
      <c r="AJ10" s="63">
        <f>AJ9</f>
        <v>35248845055</v>
      </c>
      <c r="AK10" s="63">
        <f>AK9</f>
        <v>25062648674</v>
      </c>
      <c r="AL10" s="63"/>
    </row>
    <row r="11" spans="1:38" s="13" customFormat="1" ht="12.75">
      <c r="A11" s="29" t="s">
        <v>96</v>
      </c>
      <c r="B11" s="60" t="s">
        <v>595</v>
      </c>
      <c r="C11" s="39" t="s">
        <v>596</v>
      </c>
      <c r="D11" s="77">
        <v>252214348</v>
      </c>
      <c r="E11" s="78">
        <v>29770000</v>
      </c>
      <c r="F11" s="79">
        <f t="shared" si="0"/>
        <v>281984348</v>
      </c>
      <c r="G11" s="77">
        <v>254584014</v>
      </c>
      <c r="H11" s="78">
        <v>30477847</v>
      </c>
      <c r="I11" s="80">
        <f t="shared" si="1"/>
        <v>285061861</v>
      </c>
      <c r="J11" s="77">
        <v>69386205</v>
      </c>
      <c r="K11" s="78">
        <v>2683705</v>
      </c>
      <c r="L11" s="78">
        <f t="shared" si="2"/>
        <v>72069910</v>
      </c>
      <c r="M11" s="40">
        <f t="shared" si="3"/>
        <v>0.25558124240285846</v>
      </c>
      <c r="N11" s="105">
        <v>58924763</v>
      </c>
      <c r="O11" s="106">
        <v>4598721</v>
      </c>
      <c r="P11" s="107">
        <f t="shared" si="4"/>
        <v>63523484</v>
      </c>
      <c r="Q11" s="40">
        <f t="shared" si="5"/>
        <v>0.22527308501534277</v>
      </c>
      <c r="R11" s="105">
        <v>58304060</v>
      </c>
      <c r="S11" s="107">
        <v>4710841</v>
      </c>
      <c r="T11" s="107">
        <f t="shared" si="6"/>
        <v>63014901</v>
      </c>
      <c r="U11" s="40">
        <f t="shared" si="7"/>
        <v>0.22105693402457652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186615028</v>
      </c>
      <c r="AA11" s="78">
        <f t="shared" si="11"/>
        <v>11993267</v>
      </c>
      <c r="AB11" s="78">
        <f t="shared" si="12"/>
        <v>198608295</v>
      </c>
      <c r="AC11" s="40">
        <f t="shared" si="13"/>
        <v>0.6967199831758623</v>
      </c>
      <c r="AD11" s="77">
        <v>61184618</v>
      </c>
      <c r="AE11" s="78">
        <v>9463906</v>
      </c>
      <c r="AF11" s="78">
        <f t="shared" si="14"/>
        <v>70648524</v>
      </c>
      <c r="AG11" s="40">
        <f>IF(273969434=0,0,187946932/273969434)</f>
        <v>0.6860142361720541</v>
      </c>
      <c r="AH11" s="40">
        <f t="shared" si="15"/>
        <v>-0.10805070747125589</v>
      </c>
      <c r="AI11" s="12">
        <v>254044495</v>
      </c>
      <c r="AJ11" s="12">
        <v>273969434</v>
      </c>
      <c r="AK11" s="12">
        <v>187946932</v>
      </c>
      <c r="AL11" s="12"/>
    </row>
    <row r="12" spans="1:38" s="13" customFormat="1" ht="12.75">
      <c r="A12" s="29" t="s">
        <v>96</v>
      </c>
      <c r="B12" s="60" t="s">
        <v>597</v>
      </c>
      <c r="C12" s="39" t="s">
        <v>598</v>
      </c>
      <c r="D12" s="77">
        <v>222211384</v>
      </c>
      <c r="E12" s="78">
        <v>70581000</v>
      </c>
      <c r="F12" s="79">
        <f t="shared" si="0"/>
        <v>292792384</v>
      </c>
      <c r="G12" s="77">
        <v>236132000</v>
      </c>
      <c r="H12" s="78">
        <v>50574000</v>
      </c>
      <c r="I12" s="80">
        <f t="shared" si="1"/>
        <v>286706000</v>
      </c>
      <c r="J12" s="77">
        <v>66924243</v>
      </c>
      <c r="K12" s="78">
        <v>10583101</v>
      </c>
      <c r="L12" s="78">
        <f t="shared" si="2"/>
        <v>77507344</v>
      </c>
      <c r="M12" s="40">
        <f t="shared" si="3"/>
        <v>0.2647177598717868</v>
      </c>
      <c r="N12" s="105">
        <v>58382585</v>
      </c>
      <c r="O12" s="106">
        <v>9585704</v>
      </c>
      <c r="P12" s="107">
        <f t="shared" si="4"/>
        <v>67968289</v>
      </c>
      <c r="Q12" s="40">
        <f t="shared" si="5"/>
        <v>0.23213817269236073</v>
      </c>
      <c r="R12" s="105">
        <v>51346095</v>
      </c>
      <c r="S12" s="107">
        <v>11533743</v>
      </c>
      <c r="T12" s="107">
        <f t="shared" si="6"/>
        <v>62879838</v>
      </c>
      <c r="U12" s="40">
        <f t="shared" si="7"/>
        <v>0.21931817959861322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176652923</v>
      </c>
      <c r="AA12" s="78">
        <f t="shared" si="11"/>
        <v>31702548</v>
      </c>
      <c r="AB12" s="78">
        <f t="shared" si="12"/>
        <v>208355471</v>
      </c>
      <c r="AC12" s="40">
        <f t="shared" si="13"/>
        <v>0.7267216974880191</v>
      </c>
      <c r="AD12" s="77">
        <v>54563605</v>
      </c>
      <c r="AE12" s="78">
        <v>4997645</v>
      </c>
      <c r="AF12" s="78">
        <f t="shared" si="14"/>
        <v>59561250</v>
      </c>
      <c r="AG12" s="40">
        <f>IF(276935621=0,0,181151189/276935621)</f>
        <v>0.6541274406877402</v>
      </c>
      <c r="AH12" s="40">
        <f t="shared" si="15"/>
        <v>0.055717232260907856</v>
      </c>
      <c r="AI12" s="12">
        <v>237607781</v>
      </c>
      <c r="AJ12" s="12">
        <v>276935621</v>
      </c>
      <c r="AK12" s="12">
        <v>181151189</v>
      </c>
      <c r="AL12" s="12"/>
    </row>
    <row r="13" spans="1:38" s="13" customFormat="1" ht="12.75">
      <c r="A13" s="29" t="s">
        <v>96</v>
      </c>
      <c r="B13" s="60" t="s">
        <v>599</v>
      </c>
      <c r="C13" s="39" t="s">
        <v>600</v>
      </c>
      <c r="D13" s="77">
        <v>251749000</v>
      </c>
      <c r="E13" s="78">
        <v>69200050</v>
      </c>
      <c r="F13" s="79">
        <f t="shared" si="0"/>
        <v>320949050</v>
      </c>
      <c r="G13" s="77">
        <v>285423588</v>
      </c>
      <c r="H13" s="78">
        <v>44923798</v>
      </c>
      <c r="I13" s="80">
        <f t="shared" si="1"/>
        <v>330347386</v>
      </c>
      <c r="J13" s="77">
        <v>70130982</v>
      </c>
      <c r="K13" s="78">
        <v>332557</v>
      </c>
      <c r="L13" s="78">
        <f t="shared" si="2"/>
        <v>70463539</v>
      </c>
      <c r="M13" s="40">
        <f t="shared" si="3"/>
        <v>0.21954742972443758</v>
      </c>
      <c r="N13" s="105">
        <v>65188868</v>
      </c>
      <c r="O13" s="106">
        <v>21973176</v>
      </c>
      <c r="P13" s="107">
        <f t="shared" si="4"/>
        <v>87162044</v>
      </c>
      <c r="Q13" s="40">
        <f t="shared" si="5"/>
        <v>0.2715759526317339</v>
      </c>
      <c r="R13" s="105">
        <v>99032574</v>
      </c>
      <c r="S13" s="107">
        <v>9260663</v>
      </c>
      <c r="T13" s="107">
        <f t="shared" si="6"/>
        <v>108293237</v>
      </c>
      <c r="U13" s="40">
        <f t="shared" si="7"/>
        <v>0.32781623705658747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234352424</v>
      </c>
      <c r="AA13" s="78">
        <f t="shared" si="11"/>
        <v>31566396</v>
      </c>
      <c r="AB13" s="78">
        <f t="shared" si="12"/>
        <v>265918820</v>
      </c>
      <c r="AC13" s="40">
        <f t="shared" si="13"/>
        <v>0.8049672292548427</v>
      </c>
      <c r="AD13" s="77">
        <v>61075458</v>
      </c>
      <c r="AE13" s="78">
        <v>1650522</v>
      </c>
      <c r="AF13" s="78">
        <f t="shared" si="14"/>
        <v>62725980</v>
      </c>
      <c r="AG13" s="40">
        <f>IF(264063152=0,0,189289931/264063152)</f>
        <v>0.7168358385724336</v>
      </c>
      <c r="AH13" s="40">
        <f t="shared" si="15"/>
        <v>0.7264495030607732</v>
      </c>
      <c r="AI13" s="12">
        <v>275967471</v>
      </c>
      <c r="AJ13" s="12">
        <v>264063152</v>
      </c>
      <c r="AK13" s="12">
        <v>189289931</v>
      </c>
      <c r="AL13" s="12"/>
    </row>
    <row r="14" spans="1:38" s="13" customFormat="1" ht="12.75">
      <c r="A14" s="29" t="s">
        <v>96</v>
      </c>
      <c r="B14" s="60" t="s">
        <v>601</v>
      </c>
      <c r="C14" s="39" t="s">
        <v>602</v>
      </c>
      <c r="D14" s="77">
        <v>837400229</v>
      </c>
      <c r="E14" s="78">
        <v>199536675</v>
      </c>
      <c r="F14" s="79">
        <f t="shared" si="0"/>
        <v>1036936904</v>
      </c>
      <c r="G14" s="77">
        <v>867009443</v>
      </c>
      <c r="H14" s="78">
        <v>215809476</v>
      </c>
      <c r="I14" s="80">
        <f t="shared" si="1"/>
        <v>1082818919</v>
      </c>
      <c r="J14" s="77">
        <v>225906721</v>
      </c>
      <c r="K14" s="78">
        <v>20661355</v>
      </c>
      <c r="L14" s="78">
        <f t="shared" si="2"/>
        <v>246568076</v>
      </c>
      <c r="M14" s="40">
        <f t="shared" si="3"/>
        <v>0.2377850330611823</v>
      </c>
      <c r="N14" s="105">
        <v>199817633</v>
      </c>
      <c r="O14" s="106">
        <v>22908345</v>
      </c>
      <c r="P14" s="107">
        <f t="shared" si="4"/>
        <v>222725978</v>
      </c>
      <c r="Q14" s="40">
        <f t="shared" si="5"/>
        <v>0.2147922184472663</v>
      </c>
      <c r="R14" s="105">
        <v>201319496</v>
      </c>
      <c r="S14" s="107">
        <v>52362777</v>
      </c>
      <c r="T14" s="107">
        <f t="shared" si="6"/>
        <v>253682273</v>
      </c>
      <c r="U14" s="40">
        <f t="shared" si="7"/>
        <v>0.23427949821404995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627043850</v>
      </c>
      <c r="AA14" s="78">
        <f t="shared" si="11"/>
        <v>95932477</v>
      </c>
      <c r="AB14" s="78">
        <f t="shared" si="12"/>
        <v>722976327</v>
      </c>
      <c r="AC14" s="40">
        <f t="shared" si="13"/>
        <v>0.6676798071349546</v>
      </c>
      <c r="AD14" s="77">
        <v>173707163</v>
      </c>
      <c r="AE14" s="78">
        <v>29108806</v>
      </c>
      <c r="AF14" s="78">
        <f t="shared" si="14"/>
        <v>202815969</v>
      </c>
      <c r="AG14" s="40">
        <f>IF(976465427=0,0,682424256/976465427)</f>
        <v>0.6988719079349442</v>
      </c>
      <c r="AH14" s="40">
        <f t="shared" si="15"/>
        <v>0.25080029077986454</v>
      </c>
      <c r="AI14" s="12">
        <v>952936881</v>
      </c>
      <c r="AJ14" s="12">
        <v>976465427</v>
      </c>
      <c r="AK14" s="12">
        <v>682424256</v>
      </c>
      <c r="AL14" s="12"/>
    </row>
    <row r="15" spans="1:38" s="13" customFormat="1" ht="12.75">
      <c r="A15" s="29" t="s">
        <v>96</v>
      </c>
      <c r="B15" s="60" t="s">
        <v>603</v>
      </c>
      <c r="C15" s="39" t="s">
        <v>604</v>
      </c>
      <c r="D15" s="77">
        <v>496736528</v>
      </c>
      <c r="E15" s="78">
        <v>92885408</v>
      </c>
      <c r="F15" s="79">
        <f t="shared" si="0"/>
        <v>589621936</v>
      </c>
      <c r="G15" s="77">
        <v>530533102</v>
      </c>
      <c r="H15" s="78">
        <v>83701437</v>
      </c>
      <c r="I15" s="80">
        <f t="shared" si="1"/>
        <v>614234539</v>
      </c>
      <c r="J15" s="77">
        <v>134267965</v>
      </c>
      <c r="K15" s="78">
        <v>5793246</v>
      </c>
      <c r="L15" s="78">
        <f t="shared" si="2"/>
        <v>140061211</v>
      </c>
      <c r="M15" s="40">
        <f t="shared" si="3"/>
        <v>0.2375440980879653</v>
      </c>
      <c r="N15" s="105">
        <v>124732000</v>
      </c>
      <c r="O15" s="106">
        <v>20192428</v>
      </c>
      <c r="P15" s="107">
        <f t="shared" si="4"/>
        <v>144924428</v>
      </c>
      <c r="Q15" s="40">
        <f t="shared" si="5"/>
        <v>0.2457921239890912</v>
      </c>
      <c r="R15" s="105">
        <v>118599877</v>
      </c>
      <c r="S15" s="107">
        <v>19560560</v>
      </c>
      <c r="T15" s="107">
        <f t="shared" si="6"/>
        <v>138160437</v>
      </c>
      <c r="U15" s="40">
        <f t="shared" si="7"/>
        <v>0.22493107799657616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377599842</v>
      </c>
      <c r="AA15" s="78">
        <f t="shared" si="11"/>
        <v>45546234</v>
      </c>
      <c r="AB15" s="78">
        <f t="shared" si="12"/>
        <v>423146076</v>
      </c>
      <c r="AC15" s="40">
        <f t="shared" si="13"/>
        <v>0.6888998405867893</v>
      </c>
      <c r="AD15" s="77">
        <v>112384086</v>
      </c>
      <c r="AE15" s="78">
        <v>19828261</v>
      </c>
      <c r="AF15" s="78">
        <f t="shared" si="14"/>
        <v>132212347</v>
      </c>
      <c r="AG15" s="40">
        <f>IF(588369304=0,0,389996678/588369304)</f>
        <v>0.66284334575007</v>
      </c>
      <c r="AH15" s="40">
        <f t="shared" si="15"/>
        <v>0.04498891468888311</v>
      </c>
      <c r="AI15" s="12">
        <v>517209702</v>
      </c>
      <c r="AJ15" s="12">
        <v>588369304</v>
      </c>
      <c r="AK15" s="12">
        <v>389996678</v>
      </c>
      <c r="AL15" s="12"/>
    </row>
    <row r="16" spans="1:38" s="13" customFormat="1" ht="12.75">
      <c r="A16" s="29" t="s">
        <v>115</v>
      </c>
      <c r="B16" s="60" t="s">
        <v>605</v>
      </c>
      <c r="C16" s="39" t="s">
        <v>606</v>
      </c>
      <c r="D16" s="77">
        <v>338698960</v>
      </c>
      <c r="E16" s="78">
        <v>8315000</v>
      </c>
      <c r="F16" s="79">
        <f t="shared" si="0"/>
        <v>347013960</v>
      </c>
      <c r="G16" s="77">
        <v>367795110</v>
      </c>
      <c r="H16" s="78">
        <v>8315000</v>
      </c>
      <c r="I16" s="80">
        <f t="shared" si="1"/>
        <v>376110110</v>
      </c>
      <c r="J16" s="77">
        <v>101596795</v>
      </c>
      <c r="K16" s="78">
        <v>5153264</v>
      </c>
      <c r="L16" s="78">
        <f t="shared" si="2"/>
        <v>106750059</v>
      </c>
      <c r="M16" s="40">
        <f t="shared" si="3"/>
        <v>0.3076246817275017</v>
      </c>
      <c r="N16" s="105">
        <v>105080153</v>
      </c>
      <c r="O16" s="106">
        <v>1712450</v>
      </c>
      <c r="P16" s="107">
        <f t="shared" si="4"/>
        <v>106792603</v>
      </c>
      <c r="Q16" s="40">
        <f t="shared" si="5"/>
        <v>0.3077472819825462</v>
      </c>
      <c r="R16" s="105">
        <v>101501984</v>
      </c>
      <c r="S16" s="107">
        <v>1260650</v>
      </c>
      <c r="T16" s="107">
        <f t="shared" si="6"/>
        <v>102762634</v>
      </c>
      <c r="U16" s="40">
        <f t="shared" si="7"/>
        <v>0.2732248649205415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308178932</v>
      </c>
      <c r="AA16" s="78">
        <f t="shared" si="11"/>
        <v>8126364</v>
      </c>
      <c r="AB16" s="78">
        <f t="shared" si="12"/>
        <v>316305296</v>
      </c>
      <c r="AC16" s="40">
        <f t="shared" si="13"/>
        <v>0.8409912086649306</v>
      </c>
      <c r="AD16" s="77">
        <v>76695699</v>
      </c>
      <c r="AE16" s="78">
        <v>9510622</v>
      </c>
      <c r="AF16" s="78">
        <f t="shared" si="14"/>
        <v>86206321</v>
      </c>
      <c r="AG16" s="40">
        <f>IF(330200490=0,0,252446155/330200490)</f>
        <v>0.7645238654854812</v>
      </c>
      <c r="AH16" s="40">
        <f t="shared" si="15"/>
        <v>0.1920545130327509</v>
      </c>
      <c r="AI16" s="12">
        <v>330267070</v>
      </c>
      <c r="AJ16" s="12">
        <v>330200490</v>
      </c>
      <c r="AK16" s="12">
        <v>252446155</v>
      </c>
      <c r="AL16" s="12"/>
    </row>
    <row r="17" spans="1:38" s="56" customFormat="1" ht="12.75">
      <c r="A17" s="61"/>
      <c r="B17" s="62" t="s">
        <v>607</v>
      </c>
      <c r="C17" s="32"/>
      <c r="D17" s="81">
        <f>SUM(D11:D16)</f>
        <v>2399010449</v>
      </c>
      <c r="E17" s="82">
        <f>SUM(E11:E16)</f>
        <v>470288133</v>
      </c>
      <c r="F17" s="90">
        <f t="shared" si="0"/>
        <v>2869298582</v>
      </c>
      <c r="G17" s="81">
        <f>SUM(G11:G16)</f>
        <v>2541477257</v>
      </c>
      <c r="H17" s="82">
        <f>SUM(H11:H16)</f>
        <v>433801558</v>
      </c>
      <c r="I17" s="83">
        <f t="shared" si="1"/>
        <v>2975278815</v>
      </c>
      <c r="J17" s="81">
        <f>SUM(J11:J16)</f>
        <v>668212911</v>
      </c>
      <c r="K17" s="82">
        <f>SUM(K11:K16)</f>
        <v>45207228</v>
      </c>
      <c r="L17" s="82">
        <f t="shared" si="2"/>
        <v>713420139</v>
      </c>
      <c r="M17" s="44">
        <f t="shared" si="3"/>
        <v>0.2486392122017227</v>
      </c>
      <c r="N17" s="111">
        <f>SUM(N11:N16)</f>
        <v>612126002</v>
      </c>
      <c r="O17" s="112">
        <f>SUM(O11:O16)</f>
        <v>80970824</v>
      </c>
      <c r="P17" s="113">
        <f t="shared" si="4"/>
        <v>693096826</v>
      </c>
      <c r="Q17" s="44">
        <f t="shared" si="5"/>
        <v>0.24155618740691936</v>
      </c>
      <c r="R17" s="111">
        <f>SUM(R11:R16)</f>
        <v>630104086</v>
      </c>
      <c r="S17" s="113">
        <f>SUM(S11:S16)</f>
        <v>98689234</v>
      </c>
      <c r="T17" s="113">
        <f t="shared" si="6"/>
        <v>728793320</v>
      </c>
      <c r="U17" s="44">
        <f t="shared" si="7"/>
        <v>0.2449495880270972</v>
      </c>
      <c r="V17" s="111">
        <f>SUM(V11:V16)</f>
        <v>0</v>
      </c>
      <c r="W17" s="113">
        <f>SUM(W11:W16)</f>
        <v>0</v>
      </c>
      <c r="X17" s="113">
        <f t="shared" si="8"/>
        <v>0</v>
      </c>
      <c r="Y17" s="44">
        <f t="shared" si="9"/>
        <v>0</v>
      </c>
      <c r="Z17" s="81">
        <f t="shared" si="10"/>
        <v>1910442999</v>
      </c>
      <c r="AA17" s="82">
        <f t="shared" si="11"/>
        <v>224867286</v>
      </c>
      <c r="AB17" s="82">
        <f t="shared" si="12"/>
        <v>2135310285</v>
      </c>
      <c r="AC17" s="44">
        <f t="shared" si="13"/>
        <v>0.7176840954315739</v>
      </c>
      <c r="AD17" s="81">
        <f>SUM(AD11:AD16)</f>
        <v>539610629</v>
      </c>
      <c r="AE17" s="82">
        <f>SUM(AE11:AE16)</f>
        <v>74559762</v>
      </c>
      <c r="AF17" s="82">
        <f t="shared" si="14"/>
        <v>614170391</v>
      </c>
      <c r="AG17" s="44">
        <f>IF(330200490=0,0,252446155/330200490)</f>
        <v>0.7645238654854812</v>
      </c>
      <c r="AH17" s="44">
        <f t="shared" si="15"/>
        <v>0.18663050299994022</v>
      </c>
      <c r="AI17" s="63">
        <f>SUM(AI11:AI16)</f>
        <v>2568033400</v>
      </c>
      <c r="AJ17" s="63">
        <f>SUM(AJ11:AJ16)</f>
        <v>2710003428</v>
      </c>
      <c r="AK17" s="63">
        <f>SUM(AK11:AK16)</f>
        <v>1883255141</v>
      </c>
      <c r="AL17" s="63"/>
    </row>
    <row r="18" spans="1:38" s="13" customFormat="1" ht="12.75">
      <c r="A18" s="29" t="s">
        <v>96</v>
      </c>
      <c r="B18" s="60" t="s">
        <v>608</v>
      </c>
      <c r="C18" s="39" t="s">
        <v>609</v>
      </c>
      <c r="D18" s="77">
        <v>451952581</v>
      </c>
      <c r="E18" s="78">
        <v>52768347</v>
      </c>
      <c r="F18" s="79">
        <f t="shared" si="0"/>
        <v>504720928</v>
      </c>
      <c r="G18" s="77">
        <v>421194579</v>
      </c>
      <c r="H18" s="78">
        <v>67232142</v>
      </c>
      <c r="I18" s="80">
        <f t="shared" si="1"/>
        <v>488426721</v>
      </c>
      <c r="J18" s="77">
        <v>121319840</v>
      </c>
      <c r="K18" s="78">
        <v>5355232</v>
      </c>
      <c r="L18" s="78">
        <f t="shared" si="2"/>
        <v>126675072</v>
      </c>
      <c r="M18" s="40">
        <f t="shared" si="3"/>
        <v>0.2509804229873345</v>
      </c>
      <c r="N18" s="105">
        <v>97931386</v>
      </c>
      <c r="O18" s="106">
        <v>16258782</v>
      </c>
      <c r="P18" s="107">
        <f t="shared" si="4"/>
        <v>114190168</v>
      </c>
      <c r="Q18" s="40">
        <f t="shared" si="5"/>
        <v>0.2262441711154882</v>
      </c>
      <c r="R18" s="105">
        <v>102962976</v>
      </c>
      <c r="S18" s="107">
        <v>13171940</v>
      </c>
      <c r="T18" s="107">
        <f t="shared" si="6"/>
        <v>116134916</v>
      </c>
      <c r="U18" s="40">
        <f t="shared" si="7"/>
        <v>0.2377734694003361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322214202</v>
      </c>
      <c r="AA18" s="78">
        <f t="shared" si="11"/>
        <v>34785954</v>
      </c>
      <c r="AB18" s="78">
        <f t="shared" si="12"/>
        <v>357000156</v>
      </c>
      <c r="AC18" s="40">
        <f t="shared" si="13"/>
        <v>0.7309185608622751</v>
      </c>
      <c r="AD18" s="77">
        <v>94957172</v>
      </c>
      <c r="AE18" s="78">
        <v>11998876</v>
      </c>
      <c r="AF18" s="78">
        <f t="shared" si="14"/>
        <v>106956048</v>
      </c>
      <c r="AG18" s="40">
        <f>IF(488426721=0,0,332696326/488426721)</f>
        <v>0.6811591415777598</v>
      </c>
      <c r="AH18" s="40">
        <f t="shared" si="15"/>
        <v>0.08581906466850753</v>
      </c>
      <c r="AI18" s="12">
        <v>464782952</v>
      </c>
      <c r="AJ18" s="12">
        <v>488426721</v>
      </c>
      <c r="AK18" s="12">
        <v>332696326</v>
      </c>
      <c r="AL18" s="12"/>
    </row>
    <row r="19" spans="1:38" s="13" customFormat="1" ht="12.75">
      <c r="A19" s="29" t="s">
        <v>96</v>
      </c>
      <c r="B19" s="60" t="s">
        <v>58</v>
      </c>
      <c r="C19" s="39" t="s">
        <v>59</v>
      </c>
      <c r="D19" s="77">
        <v>1828026195</v>
      </c>
      <c r="E19" s="78">
        <v>375837493</v>
      </c>
      <c r="F19" s="79">
        <f t="shared" si="0"/>
        <v>2203863688</v>
      </c>
      <c r="G19" s="77">
        <v>1839900065</v>
      </c>
      <c r="H19" s="78">
        <v>665830951</v>
      </c>
      <c r="I19" s="80">
        <f t="shared" si="1"/>
        <v>2505731016</v>
      </c>
      <c r="J19" s="77">
        <v>684531982</v>
      </c>
      <c r="K19" s="78">
        <v>31011921</v>
      </c>
      <c r="L19" s="78">
        <f t="shared" si="2"/>
        <v>715543903</v>
      </c>
      <c r="M19" s="40">
        <f t="shared" si="3"/>
        <v>0.3246770237633681</v>
      </c>
      <c r="N19" s="105">
        <v>341820123</v>
      </c>
      <c r="O19" s="106">
        <v>100160955</v>
      </c>
      <c r="P19" s="107">
        <f t="shared" si="4"/>
        <v>441981078</v>
      </c>
      <c r="Q19" s="40">
        <f t="shared" si="5"/>
        <v>0.2005482827302702</v>
      </c>
      <c r="R19" s="105">
        <v>368361813</v>
      </c>
      <c r="S19" s="107">
        <v>57870177</v>
      </c>
      <c r="T19" s="107">
        <f t="shared" si="6"/>
        <v>426231990</v>
      </c>
      <c r="U19" s="40">
        <f t="shared" si="7"/>
        <v>0.17010285113539897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1394713918</v>
      </c>
      <c r="AA19" s="78">
        <f t="shared" si="11"/>
        <v>189043053</v>
      </c>
      <c r="AB19" s="78">
        <f t="shared" si="12"/>
        <v>1583756971</v>
      </c>
      <c r="AC19" s="40">
        <f t="shared" si="13"/>
        <v>0.6320538640768455</v>
      </c>
      <c r="AD19" s="77">
        <v>287478034</v>
      </c>
      <c r="AE19" s="78">
        <v>36689541</v>
      </c>
      <c r="AF19" s="78">
        <f t="shared" si="14"/>
        <v>324167575</v>
      </c>
      <c r="AG19" s="40">
        <f>IF(1817990948=0,0,1275515416/1817990948)</f>
        <v>0.7016071325345234</v>
      </c>
      <c r="AH19" s="40">
        <f t="shared" si="15"/>
        <v>0.3148507835800667</v>
      </c>
      <c r="AI19" s="12">
        <v>1796619507</v>
      </c>
      <c r="AJ19" s="12">
        <v>1817990948</v>
      </c>
      <c r="AK19" s="12">
        <v>1275515416</v>
      </c>
      <c r="AL19" s="12"/>
    </row>
    <row r="20" spans="1:38" s="13" customFormat="1" ht="12.75">
      <c r="A20" s="29" t="s">
        <v>96</v>
      </c>
      <c r="B20" s="60" t="s">
        <v>86</v>
      </c>
      <c r="C20" s="39" t="s">
        <v>87</v>
      </c>
      <c r="D20" s="77">
        <v>1219309257</v>
      </c>
      <c r="E20" s="78">
        <v>452759209</v>
      </c>
      <c r="F20" s="79">
        <f t="shared" si="0"/>
        <v>1672068466</v>
      </c>
      <c r="G20" s="77">
        <v>1229752981</v>
      </c>
      <c r="H20" s="78">
        <v>437183144</v>
      </c>
      <c r="I20" s="80">
        <f t="shared" si="1"/>
        <v>1666936125</v>
      </c>
      <c r="J20" s="77">
        <v>554155975</v>
      </c>
      <c r="K20" s="78">
        <v>48711947</v>
      </c>
      <c r="L20" s="78">
        <f t="shared" si="2"/>
        <v>602867922</v>
      </c>
      <c r="M20" s="40">
        <f t="shared" si="3"/>
        <v>0.3605521749011921</v>
      </c>
      <c r="N20" s="105">
        <v>195115952</v>
      </c>
      <c r="O20" s="106">
        <v>56789015</v>
      </c>
      <c r="P20" s="107">
        <f t="shared" si="4"/>
        <v>251904967</v>
      </c>
      <c r="Q20" s="40">
        <f t="shared" si="5"/>
        <v>0.15065469633705778</v>
      </c>
      <c r="R20" s="105">
        <v>224134704</v>
      </c>
      <c r="S20" s="107">
        <v>49287246</v>
      </c>
      <c r="T20" s="107">
        <f t="shared" si="6"/>
        <v>273421950</v>
      </c>
      <c r="U20" s="40">
        <f t="shared" si="7"/>
        <v>0.164026650991201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973406631</v>
      </c>
      <c r="AA20" s="78">
        <f t="shared" si="11"/>
        <v>154788208</v>
      </c>
      <c r="AB20" s="78">
        <f t="shared" si="12"/>
        <v>1128194839</v>
      </c>
      <c r="AC20" s="40">
        <f t="shared" si="13"/>
        <v>0.6768074805505819</v>
      </c>
      <c r="AD20" s="77">
        <v>192442900</v>
      </c>
      <c r="AE20" s="78">
        <v>37201856</v>
      </c>
      <c r="AF20" s="78">
        <f t="shared" si="14"/>
        <v>229644756</v>
      </c>
      <c r="AG20" s="40">
        <f>IF(1362637099=0,0,963208546/1362637099)</f>
        <v>0.7068709245527448</v>
      </c>
      <c r="AH20" s="40">
        <f t="shared" si="15"/>
        <v>0.19063006167665342</v>
      </c>
      <c r="AI20" s="12">
        <v>1351186325</v>
      </c>
      <c r="AJ20" s="12">
        <v>1362637099</v>
      </c>
      <c r="AK20" s="12">
        <v>963208546</v>
      </c>
      <c r="AL20" s="12"/>
    </row>
    <row r="21" spans="1:38" s="13" customFormat="1" ht="12.75">
      <c r="A21" s="29" t="s">
        <v>96</v>
      </c>
      <c r="B21" s="60" t="s">
        <v>610</v>
      </c>
      <c r="C21" s="39" t="s">
        <v>611</v>
      </c>
      <c r="D21" s="77">
        <v>789848849</v>
      </c>
      <c r="E21" s="78">
        <v>151930285</v>
      </c>
      <c r="F21" s="80">
        <f t="shared" si="0"/>
        <v>941779134</v>
      </c>
      <c r="G21" s="77">
        <v>819025143</v>
      </c>
      <c r="H21" s="78">
        <v>125262046</v>
      </c>
      <c r="I21" s="80">
        <f t="shared" si="1"/>
        <v>944287189</v>
      </c>
      <c r="J21" s="77">
        <v>179686432</v>
      </c>
      <c r="K21" s="78">
        <v>18898492</v>
      </c>
      <c r="L21" s="78">
        <f t="shared" si="2"/>
        <v>198584924</v>
      </c>
      <c r="M21" s="40">
        <f t="shared" si="3"/>
        <v>0.21086146085712704</v>
      </c>
      <c r="N21" s="105">
        <v>183150117</v>
      </c>
      <c r="O21" s="106">
        <v>15698083</v>
      </c>
      <c r="P21" s="107">
        <f t="shared" si="4"/>
        <v>198848200</v>
      </c>
      <c r="Q21" s="40">
        <f t="shared" si="5"/>
        <v>0.21114101260179333</v>
      </c>
      <c r="R21" s="105">
        <v>193538904</v>
      </c>
      <c r="S21" s="107">
        <v>21408921</v>
      </c>
      <c r="T21" s="107">
        <f t="shared" si="6"/>
        <v>214947825</v>
      </c>
      <c r="U21" s="40">
        <f t="shared" si="7"/>
        <v>0.22762971636587565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556375453</v>
      </c>
      <c r="AA21" s="78">
        <f t="shared" si="11"/>
        <v>56005496</v>
      </c>
      <c r="AB21" s="78">
        <f t="shared" si="12"/>
        <v>612380949</v>
      </c>
      <c r="AC21" s="40">
        <f t="shared" si="13"/>
        <v>0.6485113386410668</v>
      </c>
      <c r="AD21" s="77">
        <v>220741449</v>
      </c>
      <c r="AE21" s="78">
        <v>6921122</v>
      </c>
      <c r="AF21" s="78">
        <f t="shared" si="14"/>
        <v>227662571</v>
      </c>
      <c r="AG21" s="40">
        <f>IF(862726492=0,0,591087255/862726492)</f>
        <v>0.685138639512185</v>
      </c>
      <c r="AH21" s="40">
        <f t="shared" si="15"/>
        <v>-0.055849083774073716</v>
      </c>
      <c r="AI21" s="12">
        <v>787389422</v>
      </c>
      <c r="AJ21" s="12">
        <v>862726492</v>
      </c>
      <c r="AK21" s="12">
        <v>591087255</v>
      </c>
      <c r="AL21" s="12"/>
    </row>
    <row r="22" spans="1:38" s="13" customFormat="1" ht="12.75">
      <c r="A22" s="29" t="s">
        <v>96</v>
      </c>
      <c r="B22" s="60" t="s">
        <v>612</v>
      </c>
      <c r="C22" s="39" t="s">
        <v>613</v>
      </c>
      <c r="D22" s="77">
        <v>526438920</v>
      </c>
      <c r="E22" s="78">
        <v>51623720</v>
      </c>
      <c r="F22" s="79">
        <f t="shared" si="0"/>
        <v>578062640</v>
      </c>
      <c r="G22" s="77">
        <v>551232341</v>
      </c>
      <c r="H22" s="78">
        <v>58673640</v>
      </c>
      <c r="I22" s="80">
        <f t="shared" si="1"/>
        <v>609905981</v>
      </c>
      <c r="J22" s="77">
        <v>139170722</v>
      </c>
      <c r="K22" s="78">
        <v>9874616</v>
      </c>
      <c r="L22" s="78">
        <f t="shared" si="2"/>
        <v>149045338</v>
      </c>
      <c r="M22" s="40">
        <f t="shared" si="3"/>
        <v>0.2578359639363651</v>
      </c>
      <c r="N22" s="105">
        <v>120267228</v>
      </c>
      <c r="O22" s="106">
        <v>7016967</v>
      </c>
      <c r="P22" s="107">
        <f t="shared" si="4"/>
        <v>127284195</v>
      </c>
      <c r="Q22" s="40">
        <f t="shared" si="5"/>
        <v>0.2201910073275104</v>
      </c>
      <c r="R22" s="105">
        <v>147891990</v>
      </c>
      <c r="S22" s="107">
        <v>13840800</v>
      </c>
      <c r="T22" s="107">
        <f t="shared" si="6"/>
        <v>161732790</v>
      </c>
      <c r="U22" s="40">
        <f t="shared" si="7"/>
        <v>0.26517659284931655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407329940</v>
      </c>
      <c r="AA22" s="78">
        <f t="shared" si="11"/>
        <v>30732383</v>
      </c>
      <c r="AB22" s="78">
        <f t="shared" si="12"/>
        <v>438062323</v>
      </c>
      <c r="AC22" s="40">
        <f t="shared" si="13"/>
        <v>0.7182456585878275</v>
      </c>
      <c r="AD22" s="77">
        <v>125665460</v>
      </c>
      <c r="AE22" s="78">
        <v>9665833</v>
      </c>
      <c r="AF22" s="78">
        <f t="shared" si="14"/>
        <v>135331293</v>
      </c>
      <c r="AG22" s="40">
        <f>IF(548453257=0,0,394959012/548453257)</f>
        <v>0.7201324943540266</v>
      </c>
      <c r="AH22" s="40">
        <f t="shared" si="15"/>
        <v>0.1950878944162604</v>
      </c>
      <c r="AI22" s="12">
        <v>533303430</v>
      </c>
      <c r="AJ22" s="12">
        <v>548453257</v>
      </c>
      <c r="AK22" s="12">
        <v>394959012</v>
      </c>
      <c r="AL22" s="12"/>
    </row>
    <row r="23" spans="1:38" s="13" customFormat="1" ht="12.75">
      <c r="A23" s="29" t="s">
        <v>115</v>
      </c>
      <c r="B23" s="60" t="s">
        <v>614</v>
      </c>
      <c r="C23" s="39" t="s">
        <v>615</v>
      </c>
      <c r="D23" s="77">
        <v>368288700</v>
      </c>
      <c r="E23" s="78">
        <v>18188809</v>
      </c>
      <c r="F23" s="79">
        <f t="shared" si="0"/>
        <v>386477509</v>
      </c>
      <c r="G23" s="77">
        <v>399927462</v>
      </c>
      <c r="H23" s="78">
        <v>11016887</v>
      </c>
      <c r="I23" s="80">
        <f t="shared" si="1"/>
        <v>410944349</v>
      </c>
      <c r="J23" s="77">
        <v>131163934</v>
      </c>
      <c r="K23" s="78">
        <v>585741</v>
      </c>
      <c r="L23" s="78">
        <f t="shared" si="2"/>
        <v>131749675</v>
      </c>
      <c r="M23" s="40">
        <f t="shared" si="3"/>
        <v>0.34089868603453455</v>
      </c>
      <c r="N23" s="105">
        <v>104906441</v>
      </c>
      <c r="O23" s="106">
        <v>1411662</v>
      </c>
      <c r="P23" s="107">
        <f t="shared" si="4"/>
        <v>106318103</v>
      </c>
      <c r="Q23" s="40">
        <f t="shared" si="5"/>
        <v>0.2750951880100221</v>
      </c>
      <c r="R23" s="105">
        <v>107074994</v>
      </c>
      <c r="S23" s="107">
        <v>1512647</v>
      </c>
      <c r="T23" s="107">
        <f t="shared" si="6"/>
        <v>108587641</v>
      </c>
      <c r="U23" s="40">
        <f t="shared" si="7"/>
        <v>0.2642392851105978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343145369</v>
      </c>
      <c r="AA23" s="78">
        <f t="shared" si="11"/>
        <v>3510050</v>
      </c>
      <c r="AB23" s="78">
        <f t="shared" si="12"/>
        <v>346655419</v>
      </c>
      <c r="AC23" s="40">
        <f t="shared" si="13"/>
        <v>0.8435580628947887</v>
      </c>
      <c r="AD23" s="77">
        <v>91594049</v>
      </c>
      <c r="AE23" s="78">
        <v>1812240</v>
      </c>
      <c r="AF23" s="78">
        <f t="shared" si="14"/>
        <v>93406289</v>
      </c>
      <c r="AG23" s="40">
        <f>IF(365941279=0,0,317906766/365941279)</f>
        <v>0.8687371013970796</v>
      </c>
      <c r="AH23" s="40">
        <f t="shared" si="15"/>
        <v>0.16253029814726938</v>
      </c>
      <c r="AI23" s="12">
        <v>370576034</v>
      </c>
      <c r="AJ23" s="12">
        <v>365941279</v>
      </c>
      <c r="AK23" s="12">
        <v>317906766</v>
      </c>
      <c r="AL23" s="12"/>
    </row>
    <row r="24" spans="1:38" s="56" customFormat="1" ht="12.75">
      <c r="A24" s="61"/>
      <c r="B24" s="62" t="s">
        <v>616</v>
      </c>
      <c r="C24" s="32"/>
      <c r="D24" s="81">
        <f>SUM(D18:D23)</f>
        <v>5183864502</v>
      </c>
      <c r="E24" s="82">
        <f>SUM(E18:E23)</f>
        <v>1103107863</v>
      </c>
      <c r="F24" s="90">
        <f t="shared" si="0"/>
        <v>6286972365</v>
      </c>
      <c r="G24" s="81">
        <f>SUM(G18:G23)</f>
        <v>5261032571</v>
      </c>
      <c r="H24" s="82">
        <f>SUM(H18:H23)</f>
        <v>1365198810</v>
      </c>
      <c r="I24" s="83">
        <f t="shared" si="1"/>
        <v>6626231381</v>
      </c>
      <c r="J24" s="81">
        <f>SUM(J18:J23)</f>
        <v>1810028885</v>
      </c>
      <c r="K24" s="82">
        <f>SUM(K18:K23)</f>
        <v>114437949</v>
      </c>
      <c r="L24" s="82">
        <f t="shared" si="2"/>
        <v>1924466834</v>
      </c>
      <c r="M24" s="44">
        <f t="shared" si="3"/>
        <v>0.3061039117514874</v>
      </c>
      <c r="N24" s="111">
        <f>SUM(N18:N23)</f>
        <v>1043191247</v>
      </c>
      <c r="O24" s="112">
        <f>SUM(O18:O23)</f>
        <v>197335464</v>
      </c>
      <c r="P24" s="113">
        <f t="shared" si="4"/>
        <v>1240526711</v>
      </c>
      <c r="Q24" s="44">
        <f t="shared" si="5"/>
        <v>0.19731702940291196</v>
      </c>
      <c r="R24" s="111">
        <f>SUM(R18:R23)</f>
        <v>1143965381</v>
      </c>
      <c r="S24" s="113">
        <f>SUM(S18:S23)</f>
        <v>157091731</v>
      </c>
      <c r="T24" s="113">
        <f t="shared" si="6"/>
        <v>1301057112</v>
      </c>
      <c r="U24" s="44">
        <f t="shared" si="7"/>
        <v>0.1963494839209268</v>
      </c>
      <c r="V24" s="111">
        <f>SUM(V18:V23)</f>
        <v>0</v>
      </c>
      <c r="W24" s="113">
        <f>SUM(W18:W23)</f>
        <v>0</v>
      </c>
      <c r="X24" s="113">
        <f t="shared" si="8"/>
        <v>0</v>
      </c>
      <c r="Y24" s="44">
        <f t="shared" si="9"/>
        <v>0</v>
      </c>
      <c r="Z24" s="81">
        <f t="shared" si="10"/>
        <v>3997185513</v>
      </c>
      <c r="AA24" s="82">
        <f t="shared" si="11"/>
        <v>468865144</v>
      </c>
      <c r="AB24" s="82">
        <f t="shared" si="12"/>
        <v>4466050657</v>
      </c>
      <c r="AC24" s="44">
        <f t="shared" si="13"/>
        <v>0.6739955791169496</v>
      </c>
      <c r="AD24" s="81">
        <f>SUM(AD18:AD23)</f>
        <v>1012879064</v>
      </c>
      <c r="AE24" s="82">
        <f>SUM(AE18:AE23)</f>
        <v>104289468</v>
      </c>
      <c r="AF24" s="82">
        <f t="shared" si="14"/>
        <v>1117168532</v>
      </c>
      <c r="AG24" s="44">
        <f>IF(365941279=0,0,317906766/365941279)</f>
        <v>0.8687371013970796</v>
      </c>
      <c r="AH24" s="44">
        <f t="shared" si="15"/>
        <v>0.16460236278835683</v>
      </c>
      <c r="AI24" s="63">
        <f>SUM(AI18:AI23)</f>
        <v>5303857670</v>
      </c>
      <c r="AJ24" s="63">
        <f>SUM(AJ18:AJ23)</f>
        <v>5446175796</v>
      </c>
      <c r="AK24" s="63">
        <f>SUM(AK18:AK23)</f>
        <v>3875373321</v>
      </c>
      <c r="AL24" s="63"/>
    </row>
    <row r="25" spans="1:38" s="13" customFormat="1" ht="12.75">
      <c r="A25" s="29" t="s">
        <v>96</v>
      </c>
      <c r="B25" s="60" t="s">
        <v>617</v>
      </c>
      <c r="C25" s="39" t="s">
        <v>618</v>
      </c>
      <c r="D25" s="77">
        <v>427587636</v>
      </c>
      <c r="E25" s="78">
        <v>60972919</v>
      </c>
      <c r="F25" s="79">
        <f t="shared" si="0"/>
        <v>488560555</v>
      </c>
      <c r="G25" s="77">
        <v>465321055</v>
      </c>
      <c r="H25" s="78">
        <v>79790925</v>
      </c>
      <c r="I25" s="80">
        <f t="shared" si="1"/>
        <v>545111980</v>
      </c>
      <c r="J25" s="77">
        <v>128791306</v>
      </c>
      <c r="K25" s="78">
        <v>6654124</v>
      </c>
      <c r="L25" s="78">
        <f t="shared" si="2"/>
        <v>135445430</v>
      </c>
      <c r="M25" s="40">
        <f t="shared" si="3"/>
        <v>0.27723365837424185</v>
      </c>
      <c r="N25" s="105">
        <v>105498535</v>
      </c>
      <c r="O25" s="106">
        <v>12562014</v>
      </c>
      <c r="P25" s="107">
        <f t="shared" si="4"/>
        <v>118060549</v>
      </c>
      <c r="Q25" s="40">
        <f t="shared" si="5"/>
        <v>0.24164977665869894</v>
      </c>
      <c r="R25" s="105">
        <v>89319172</v>
      </c>
      <c r="S25" s="107">
        <v>6693599</v>
      </c>
      <c r="T25" s="107">
        <f t="shared" si="6"/>
        <v>96012771</v>
      </c>
      <c r="U25" s="40">
        <f t="shared" si="7"/>
        <v>0.17613403213042575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323609013</v>
      </c>
      <c r="AA25" s="78">
        <f t="shared" si="11"/>
        <v>25909737</v>
      </c>
      <c r="AB25" s="78">
        <f t="shared" si="12"/>
        <v>349518750</v>
      </c>
      <c r="AC25" s="40">
        <f t="shared" si="13"/>
        <v>0.6411870639863758</v>
      </c>
      <c r="AD25" s="77">
        <v>95639111</v>
      </c>
      <c r="AE25" s="78">
        <v>10977927</v>
      </c>
      <c r="AF25" s="78">
        <f t="shared" si="14"/>
        <v>106617038</v>
      </c>
      <c r="AG25" s="40">
        <f>IF(477889368=0,0,344175039/477889368)</f>
        <v>0.7201981505476808</v>
      </c>
      <c r="AH25" s="40">
        <f t="shared" si="15"/>
        <v>-0.09946127935011662</v>
      </c>
      <c r="AI25" s="12">
        <v>431453421</v>
      </c>
      <c r="AJ25" s="12">
        <v>477889368</v>
      </c>
      <c r="AK25" s="12">
        <v>344175039</v>
      </c>
      <c r="AL25" s="12"/>
    </row>
    <row r="26" spans="1:38" s="13" customFormat="1" ht="12.75">
      <c r="A26" s="29" t="s">
        <v>96</v>
      </c>
      <c r="B26" s="60" t="s">
        <v>619</v>
      </c>
      <c r="C26" s="39" t="s">
        <v>620</v>
      </c>
      <c r="D26" s="77">
        <v>896035198</v>
      </c>
      <c r="E26" s="78">
        <v>103914091</v>
      </c>
      <c r="F26" s="79">
        <f t="shared" si="0"/>
        <v>999949289</v>
      </c>
      <c r="G26" s="77">
        <v>906142823</v>
      </c>
      <c r="H26" s="78">
        <v>102627452</v>
      </c>
      <c r="I26" s="80">
        <f t="shared" si="1"/>
        <v>1008770275</v>
      </c>
      <c r="J26" s="77">
        <v>230981195</v>
      </c>
      <c r="K26" s="78">
        <v>24627041</v>
      </c>
      <c r="L26" s="78">
        <f t="shared" si="2"/>
        <v>255608236</v>
      </c>
      <c r="M26" s="40">
        <f t="shared" si="3"/>
        <v>0.25562119880661266</v>
      </c>
      <c r="N26" s="105">
        <v>235121196</v>
      </c>
      <c r="O26" s="106">
        <v>21927938</v>
      </c>
      <c r="P26" s="107">
        <f t="shared" si="4"/>
        <v>257049134</v>
      </c>
      <c r="Q26" s="40">
        <f t="shared" si="5"/>
        <v>0.25706216987969677</v>
      </c>
      <c r="R26" s="105">
        <v>244027245</v>
      </c>
      <c r="S26" s="107">
        <v>10296307</v>
      </c>
      <c r="T26" s="107">
        <f t="shared" si="6"/>
        <v>254323552</v>
      </c>
      <c r="U26" s="40">
        <f t="shared" si="7"/>
        <v>0.25211245642621655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710129636</v>
      </c>
      <c r="AA26" s="78">
        <f t="shared" si="11"/>
        <v>56851286</v>
      </c>
      <c r="AB26" s="78">
        <f t="shared" si="12"/>
        <v>766980922</v>
      </c>
      <c r="AC26" s="40">
        <f t="shared" si="13"/>
        <v>0.7603127699217743</v>
      </c>
      <c r="AD26" s="77">
        <v>203803059</v>
      </c>
      <c r="AE26" s="78">
        <v>25131294</v>
      </c>
      <c r="AF26" s="78">
        <f t="shared" si="14"/>
        <v>228934353</v>
      </c>
      <c r="AG26" s="40">
        <f>IF(935186595=0,0,671871814/935186595)</f>
        <v>0.7184361041873146</v>
      </c>
      <c r="AH26" s="40">
        <f t="shared" si="15"/>
        <v>0.11090165659847484</v>
      </c>
      <c r="AI26" s="12">
        <v>884328516</v>
      </c>
      <c r="AJ26" s="12">
        <v>935186595</v>
      </c>
      <c r="AK26" s="12">
        <v>671871814</v>
      </c>
      <c r="AL26" s="12"/>
    </row>
    <row r="27" spans="1:38" s="13" customFormat="1" ht="12.75">
      <c r="A27" s="29" t="s">
        <v>96</v>
      </c>
      <c r="B27" s="60" t="s">
        <v>621</v>
      </c>
      <c r="C27" s="39" t="s">
        <v>622</v>
      </c>
      <c r="D27" s="77">
        <v>222540980</v>
      </c>
      <c r="E27" s="78">
        <v>21691415</v>
      </c>
      <c r="F27" s="79">
        <f t="shared" si="0"/>
        <v>244232395</v>
      </c>
      <c r="G27" s="77">
        <v>234197873</v>
      </c>
      <c r="H27" s="78">
        <v>21691415</v>
      </c>
      <c r="I27" s="80">
        <f t="shared" si="1"/>
        <v>255889288</v>
      </c>
      <c r="J27" s="77">
        <v>73191963</v>
      </c>
      <c r="K27" s="78">
        <v>1337656</v>
      </c>
      <c r="L27" s="78">
        <f t="shared" si="2"/>
        <v>74529619</v>
      </c>
      <c r="M27" s="40">
        <f t="shared" si="3"/>
        <v>0.3051586133772303</v>
      </c>
      <c r="N27" s="105">
        <v>51528430</v>
      </c>
      <c r="O27" s="106">
        <v>4944221</v>
      </c>
      <c r="P27" s="107">
        <f t="shared" si="4"/>
        <v>56472651</v>
      </c>
      <c r="Q27" s="40">
        <f t="shared" si="5"/>
        <v>0.2312250633254446</v>
      </c>
      <c r="R27" s="105">
        <v>56604222</v>
      </c>
      <c r="S27" s="107">
        <v>3300499</v>
      </c>
      <c r="T27" s="107">
        <f t="shared" si="6"/>
        <v>59904721</v>
      </c>
      <c r="U27" s="40">
        <f t="shared" si="7"/>
        <v>0.2341040590960572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181324615</v>
      </c>
      <c r="AA27" s="78">
        <f t="shared" si="11"/>
        <v>9582376</v>
      </c>
      <c r="AB27" s="78">
        <f t="shared" si="12"/>
        <v>190906991</v>
      </c>
      <c r="AC27" s="40">
        <f t="shared" si="13"/>
        <v>0.7460530782359284</v>
      </c>
      <c r="AD27" s="77">
        <v>64298361</v>
      </c>
      <c r="AE27" s="78">
        <v>5753613</v>
      </c>
      <c r="AF27" s="78">
        <f t="shared" si="14"/>
        <v>70051974</v>
      </c>
      <c r="AG27" s="40">
        <f>IF(247653697=0,0,198424988/247653697)</f>
        <v>0.8012195674995314</v>
      </c>
      <c r="AH27" s="40">
        <f t="shared" si="15"/>
        <v>-0.14485320570695126</v>
      </c>
      <c r="AI27" s="12">
        <v>233546100</v>
      </c>
      <c r="AJ27" s="12">
        <v>247653697</v>
      </c>
      <c r="AK27" s="12">
        <v>198424988</v>
      </c>
      <c r="AL27" s="12"/>
    </row>
    <row r="28" spans="1:38" s="13" customFormat="1" ht="12.75">
      <c r="A28" s="29" t="s">
        <v>96</v>
      </c>
      <c r="B28" s="60" t="s">
        <v>623</v>
      </c>
      <c r="C28" s="39" t="s">
        <v>624</v>
      </c>
      <c r="D28" s="77">
        <v>203065235</v>
      </c>
      <c r="E28" s="78">
        <v>17796579</v>
      </c>
      <c r="F28" s="79">
        <f t="shared" si="0"/>
        <v>220861814</v>
      </c>
      <c r="G28" s="77">
        <v>204929166</v>
      </c>
      <c r="H28" s="78">
        <v>17345423</v>
      </c>
      <c r="I28" s="80">
        <f t="shared" si="1"/>
        <v>222274589</v>
      </c>
      <c r="J28" s="77">
        <v>71073163</v>
      </c>
      <c r="K28" s="78">
        <v>654016</v>
      </c>
      <c r="L28" s="78">
        <f t="shared" si="2"/>
        <v>71727179</v>
      </c>
      <c r="M28" s="40">
        <f t="shared" si="3"/>
        <v>0.3247604359529529</v>
      </c>
      <c r="N28" s="105">
        <v>43513332</v>
      </c>
      <c r="O28" s="106">
        <v>5656615</v>
      </c>
      <c r="P28" s="107">
        <f t="shared" si="4"/>
        <v>49169947</v>
      </c>
      <c r="Q28" s="40">
        <f t="shared" si="5"/>
        <v>0.22262765169537185</v>
      </c>
      <c r="R28" s="105">
        <v>35939917</v>
      </c>
      <c r="S28" s="107">
        <v>2694164</v>
      </c>
      <c r="T28" s="107">
        <f t="shared" si="6"/>
        <v>38634081</v>
      </c>
      <c r="U28" s="40">
        <f t="shared" si="7"/>
        <v>0.17381240551973307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150526412</v>
      </c>
      <c r="AA28" s="78">
        <f t="shared" si="11"/>
        <v>9004795</v>
      </c>
      <c r="AB28" s="78">
        <f t="shared" si="12"/>
        <v>159531207</v>
      </c>
      <c r="AC28" s="40">
        <f t="shared" si="13"/>
        <v>0.7177213001167668</v>
      </c>
      <c r="AD28" s="77">
        <v>31228543</v>
      </c>
      <c r="AE28" s="78">
        <v>2014523</v>
      </c>
      <c r="AF28" s="78">
        <f t="shared" si="14"/>
        <v>33243066</v>
      </c>
      <c r="AG28" s="40">
        <f>IF(244717292=0,0,157792134/244717292)</f>
        <v>0.6447935603994833</v>
      </c>
      <c r="AH28" s="40">
        <f t="shared" si="15"/>
        <v>0.16216960854332751</v>
      </c>
      <c r="AI28" s="12">
        <v>203978050</v>
      </c>
      <c r="AJ28" s="12">
        <v>244717292</v>
      </c>
      <c r="AK28" s="12">
        <v>157792134</v>
      </c>
      <c r="AL28" s="12"/>
    </row>
    <row r="29" spans="1:38" s="13" customFormat="1" ht="12.75">
      <c r="A29" s="29" t="s">
        <v>115</v>
      </c>
      <c r="B29" s="60" t="s">
        <v>625</v>
      </c>
      <c r="C29" s="39" t="s">
        <v>626</v>
      </c>
      <c r="D29" s="77">
        <v>144701184</v>
      </c>
      <c r="E29" s="78">
        <v>629470</v>
      </c>
      <c r="F29" s="79">
        <f t="shared" si="0"/>
        <v>145330654</v>
      </c>
      <c r="G29" s="77">
        <v>162484656</v>
      </c>
      <c r="H29" s="78">
        <v>3989270</v>
      </c>
      <c r="I29" s="80">
        <f t="shared" si="1"/>
        <v>166473926</v>
      </c>
      <c r="J29" s="77">
        <v>51850216</v>
      </c>
      <c r="K29" s="78">
        <v>34149</v>
      </c>
      <c r="L29" s="78">
        <f t="shared" si="2"/>
        <v>51884365</v>
      </c>
      <c r="M29" s="40">
        <f t="shared" si="3"/>
        <v>0.3570090932089248</v>
      </c>
      <c r="N29" s="105">
        <v>39468887</v>
      </c>
      <c r="O29" s="106">
        <v>139773</v>
      </c>
      <c r="P29" s="107">
        <f t="shared" si="4"/>
        <v>39608660</v>
      </c>
      <c r="Q29" s="40">
        <f t="shared" si="5"/>
        <v>0.2725416758944744</v>
      </c>
      <c r="R29" s="105">
        <v>44200984</v>
      </c>
      <c r="S29" s="107">
        <v>119693</v>
      </c>
      <c r="T29" s="107">
        <f t="shared" si="6"/>
        <v>44320677</v>
      </c>
      <c r="U29" s="40">
        <f t="shared" si="7"/>
        <v>0.2662319443346341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135520087</v>
      </c>
      <c r="AA29" s="78">
        <f t="shared" si="11"/>
        <v>293615</v>
      </c>
      <c r="AB29" s="78">
        <f t="shared" si="12"/>
        <v>135813702</v>
      </c>
      <c r="AC29" s="40">
        <f t="shared" si="13"/>
        <v>0.8158256686996137</v>
      </c>
      <c r="AD29" s="77">
        <v>30636364</v>
      </c>
      <c r="AE29" s="78">
        <v>849532</v>
      </c>
      <c r="AF29" s="78">
        <f t="shared" si="14"/>
        <v>31485896</v>
      </c>
      <c r="AG29" s="40">
        <f>IF(126818798=0,0,111347097/126818798)</f>
        <v>0.8780015167782934</v>
      </c>
      <c r="AH29" s="40">
        <f t="shared" si="15"/>
        <v>0.40763588242811966</v>
      </c>
      <c r="AI29" s="12">
        <v>114688060</v>
      </c>
      <c r="AJ29" s="12">
        <v>126818798</v>
      </c>
      <c r="AK29" s="12">
        <v>111347097</v>
      </c>
      <c r="AL29" s="12"/>
    </row>
    <row r="30" spans="1:38" s="56" customFormat="1" ht="12.75">
      <c r="A30" s="61"/>
      <c r="B30" s="62" t="s">
        <v>627</v>
      </c>
      <c r="C30" s="32"/>
      <c r="D30" s="81">
        <f>SUM(D25:D29)</f>
        <v>1893930233</v>
      </c>
      <c r="E30" s="82">
        <f>SUM(E25:E29)</f>
        <v>205004474</v>
      </c>
      <c r="F30" s="90">
        <f t="shared" si="0"/>
        <v>2098934707</v>
      </c>
      <c r="G30" s="81">
        <f>SUM(G25:G29)</f>
        <v>1973075573</v>
      </c>
      <c r="H30" s="82">
        <f>SUM(H25:H29)</f>
        <v>225444485</v>
      </c>
      <c r="I30" s="83">
        <f t="shared" si="1"/>
        <v>2198520058</v>
      </c>
      <c r="J30" s="81">
        <f>SUM(J25:J29)</f>
        <v>555887843</v>
      </c>
      <c r="K30" s="82">
        <f>SUM(K25:K29)</f>
        <v>33306986</v>
      </c>
      <c r="L30" s="82">
        <f t="shared" si="2"/>
        <v>589194829</v>
      </c>
      <c r="M30" s="44">
        <f t="shared" si="3"/>
        <v>0.2807113661206423</v>
      </c>
      <c r="N30" s="111">
        <f>SUM(N25:N29)</f>
        <v>475130380</v>
      </c>
      <c r="O30" s="112">
        <f>SUM(O25:O29)</f>
        <v>45230561</v>
      </c>
      <c r="P30" s="113">
        <f t="shared" si="4"/>
        <v>520360941</v>
      </c>
      <c r="Q30" s="44">
        <f t="shared" si="5"/>
        <v>0.2479166880535079</v>
      </c>
      <c r="R30" s="111">
        <f>SUM(R25:R29)</f>
        <v>470091540</v>
      </c>
      <c r="S30" s="113">
        <f>SUM(S25:S29)</f>
        <v>23104262</v>
      </c>
      <c r="T30" s="113">
        <f t="shared" si="6"/>
        <v>493195802</v>
      </c>
      <c r="U30" s="44">
        <f t="shared" si="7"/>
        <v>0.22433081754489956</v>
      </c>
      <c r="V30" s="111">
        <f>SUM(V25:V29)</f>
        <v>0</v>
      </c>
      <c r="W30" s="113">
        <f>SUM(W25:W29)</f>
        <v>0</v>
      </c>
      <c r="X30" s="113">
        <f t="shared" si="8"/>
        <v>0</v>
      </c>
      <c r="Y30" s="44">
        <f t="shared" si="9"/>
        <v>0</v>
      </c>
      <c r="Z30" s="81">
        <f t="shared" si="10"/>
        <v>1501109763</v>
      </c>
      <c r="AA30" s="82">
        <f t="shared" si="11"/>
        <v>101641809</v>
      </c>
      <c r="AB30" s="82">
        <f t="shared" si="12"/>
        <v>1602751572</v>
      </c>
      <c r="AC30" s="44">
        <f t="shared" si="13"/>
        <v>0.7290138500978826</v>
      </c>
      <c r="AD30" s="81">
        <f>SUM(AD25:AD29)</f>
        <v>425605438</v>
      </c>
      <c r="AE30" s="82">
        <f>SUM(AE25:AE29)</f>
        <v>44726889</v>
      </c>
      <c r="AF30" s="82">
        <f t="shared" si="14"/>
        <v>470332327</v>
      </c>
      <c r="AG30" s="44">
        <f>IF(126818798=0,0,111347097/126818798)</f>
        <v>0.8780015167782934</v>
      </c>
      <c r="AH30" s="44">
        <f t="shared" si="15"/>
        <v>0.04861131945965513</v>
      </c>
      <c r="AI30" s="63">
        <f>SUM(AI25:AI29)</f>
        <v>1867994147</v>
      </c>
      <c r="AJ30" s="63">
        <f>SUM(AJ25:AJ29)</f>
        <v>2032265750</v>
      </c>
      <c r="AK30" s="63">
        <f>SUM(AK25:AK29)</f>
        <v>1483611072</v>
      </c>
      <c r="AL30" s="63"/>
    </row>
    <row r="31" spans="1:38" s="13" customFormat="1" ht="12.75">
      <c r="A31" s="29" t="s">
        <v>96</v>
      </c>
      <c r="B31" s="60" t="s">
        <v>628</v>
      </c>
      <c r="C31" s="39" t="s">
        <v>629</v>
      </c>
      <c r="D31" s="77">
        <v>123574100</v>
      </c>
      <c r="E31" s="78">
        <v>30544900</v>
      </c>
      <c r="F31" s="80">
        <f t="shared" si="0"/>
        <v>154119000</v>
      </c>
      <c r="G31" s="77">
        <v>132732489</v>
      </c>
      <c r="H31" s="78">
        <v>42464085</v>
      </c>
      <c r="I31" s="80">
        <f t="shared" si="1"/>
        <v>175196574</v>
      </c>
      <c r="J31" s="77">
        <v>13671940</v>
      </c>
      <c r="K31" s="78">
        <v>1220649</v>
      </c>
      <c r="L31" s="78">
        <f t="shared" si="2"/>
        <v>14892589</v>
      </c>
      <c r="M31" s="40">
        <f t="shared" si="3"/>
        <v>0.09663045438914086</v>
      </c>
      <c r="N31" s="105">
        <v>14347410</v>
      </c>
      <c r="O31" s="106">
        <v>3226289</v>
      </c>
      <c r="P31" s="107">
        <f t="shared" si="4"/>
        <v>17573699</v>
      </c>
      <c r="Q31" s="40">
        <f t="shared" si="5"/>
        <v>0.11402681694015664</v>
      </c>
      <c r="R31" s="105">
        <v>17539621</v>
      </c>
      <c r="S31" s="107">
        <v>507556</v>
      </c>
      <c r="T31" s="107">
        <f t="shared" si="6"/>
        <v>18047177</v>
      </c>
      <c r="U31" s="40">
        <f t="shared" si="7"/>
        <v>0.10301101550079399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45558971</v>
      </c>
      <c r="AA31" s="78">
        <f t="shared" si="11"/>
        <v>4954494</v>
      </c>
      <c r="AB31" s="78">
        <f t="shared" si="12"/>
        <v>50513465</v>
      </c>
      <c r="AC31" s="40">
        <f t="shared" si="13"/>
        <v>0.2883245022816485</v>
      </c>
      <c r="AD31" s="77">
        <v>16649055</v>
      </c>
      <c r="AE31" s="78">
        <v>3388820</v>
      </c>
      <c r="AF31" s="78">
        <f t="shared" si="14"/>
        <v>20037875</v>
      </c>
      <c r="AG31" s="40">
        <f>IF(139721185=0,0,72383538/139721185)</f>
        <v>0.5180570004469973</v>
      </c>
      <c r="AH31" s="40">
        <f t="shared" si="15"/>
        <v>-0.09934676206933124</v>
      </c>
      <c r="AI31" s="12">
        <v>139572160</v>
      </c>
      <c r="AJ31" s="12">
        <v>139721185</v>
      </c>
      <c r="AK31" s="12">
        <v>72383538</v>
      </c>
      <c r="AL31" s="12"/>
    </row>
    <row r="32" spans="1:38" s="13" customFormat="1" ht="12.75">
      <c r="A32" s="29" t="s">
        <v>96</v>
      </c>
      <c r="B32" s="60" t="s">
        <v>630</v>
      </c>
      <c r="C32" s="39" t="s">
        <v>631</v>
      </c>
      <c r="D32" s="77">
        <v>378346686</v>
      </c>
      <c r="E32" s="78">
        <v>154732773</v>
      </c>
      <c r="F32" s="79">
        <f t="shared" si="0"/>
        <v>533079459</v>
      </c>
      <c r="G32" s="77">
        <v>391080808</v>
      </c>
      <c r="H32" s="78">
        <v>93109730</v>
      </c>
      <c r="I32" s="80">
        <f t="shared" si="1"/>
        <v>484190538</v>
      </c>
      <c r="J32" s="77">
        <v>153115286</v>
      </c>
      <c r="K32" s="78">
        <v>5480578</v>
      </c>
      <c r="L32" s="78">
        <f t="shared" si="2"/>
        <v>158595864</v>
      </c>
      <c r="M32" s="40">
        <f t="shared" si="3"/>
        <v>0.29750886349571387</v>
      </c>
      <c r="N32" s="105">
        <v>66286302</v>
      </c>
      <c r="O32" s="106">
        <v>15493273</v>
      </c>
      <c r="P32" s="107">
        <f t="shared" si="4"/>
        <v>81779575</v>
      </c>
      <c r="Q32" s="40">
        <f t="shared" si="5"/>
        <v>0.15340972836096467</v>
      </c>
      <c r="R32" s="105">
        <v>69886103</v>
      </c>
      <c r="S32" s="107">
        <v>13584680</v>
      </c>
      <c r="T32" s="107">
        <f t="shared" si="6"/>
        <v>83470783</v>
      </c>
      <c r="U32" s="40">
        <f t="shared" si="7"/>
        <v>0.17239242911434177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289287691</v>
      </c>
      <c r="AA32" s="78">
        <f t="shared" si="11"/>
        <v>34558531</v>
      </c>
      <c r="AB32" s="78">
        <f t="shared" si="12"/>
        <v>323846222</v>
      </c>
      <c r="AC32" s="40">
        <f t="shared" si="13"/>
        <v>0.6688404596621836</v>
      </c>
      <c r="AD32" s="77">
        <v>73367744</v>
      </c>
      <c r="AE32" s="78">
        <v>4181012</v>
      </c>
      <c r="AF32" s="78">
        <f t="shared" si="14"/>
        <v>77548756</v>
      </c>
      <c r="AG32" s="40">
        <f>IF(417339368=0,0,273216482/417339368)</f>
        <v>0.6546626150064041</v>
      </c>
      <c r="AH32" s="40">
        <f t="shared" si="15"/>
        <v>0.07636520952057557</v>
      </c>
      <c r="AI32" s="12">
        <v>378943114</v>
      </c>
      <c r="AJ32" s="12">
        <v>417339368</v>
      </c>
      <c r="AK32" s="12">
        <v>273216482</v>
      </c>
      <c r="AL32" s="12"/>
    </row>
    <row r="33" spans="1:38" s="13" customFormat="1" ht="12.75">
      <c r="A33" s="29" t="s">
        <v>96</v>
      </c>
      <c r="B33" s="60" t="s">
        <v>632</v>
      </c>
      <c r="C33" s="39" t="s">
        <v>633</v>
      </c>
      <c r="D33" s="77">
        <v>800694652</v>
      </c>
      <c r="E33" s="78">
        <v>142374302</v>
      </c>
      <c r="F33" s="79">
        <f t="shared" si="0"/>
        <v>943068954</v>
      </c>
      <c r="G33" s="77">
        <v>814221616</v>
      </c>
      <c r="H33" s="78">
        <v>174030886</v>
      </c>
      <c r="I33" s="80">
        <f t="shared" si="1"/>
        <v>988252502</v>
      </c>
      <c r="J33" s="77">
        <v>329240779</v>
      </c>
      <c r="K33" s="78">
        <v>18897319</v>
      </c>
      <c r="L33" s="78">
        <f t="shared" si="2"/>
        <v>348138098</v>
      </c>
      <c r="M33" s="40">
        <f t="shared" si="3"/>
        <v>0.36915444679138487</v>
      </c>
      <c r="N33" s="105">
        <v>177456866</v>
      </c>
      <c r="O33" s="106">
        <v>30518772</v>
      </c>
      <c r="P33" s="107">
        <f t="shared" si="4"/>
        <v>207975638</v>
      </c>
      <c r="Q33" s="40">
        <f t="shared" si="5"/>
        <v>0.22053068030484652</v>
      </c>
      <c r="R33" s="105">
        <v>134030841</v>
      </c>
      <c r="S33" s="107">
        <v>32381022</v>
      </c>
      <c r="T33" s="107">
        <f t="shared" si="6"/>
        <v>166411863</v>
      </c>
      <c r="U33" s="40">
        <f t="shared" si="7"/>
        <v>0.1683900244757488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640728486</v>
      </c>
      <c r="AA33" s="78">
        <f t="shared" si="11"/>
        <v>81797113</v>
      </c>
      <c r="AB33" s="78">
        <f t="shared" si="12"/>
        <v>722525599</v>
      </c>
      <c r="AC33" s="40">
        <f t="shared" si="13"/>
        <v>0.7311143635232608</v>
      </c>
      <c r="AD33" s="77">
        <v>162841621</v>
      </c>
      <c r="AE33" s="78">
        <v>26583899</v>
      </c>
      <c r="AF33" s="78">
        <f t="shared" si="14"/>
        <v>189425520</v>
      </c>
      <c r="AG33" s="40">
        <f>IF(910376267=0,0,692203348/910376267)</f>
        <v>0.7603486306613043</v>
      </c>
      <c r="AH33" s="40">
        <f t="shared" si="15"/>
        <v>-0.12149185072845514</v>
      </c>
      <c r="AI33" s="12">
        <v>885096439</v>
      </c>
      <c r="AJ33" s="12">
        <v>910376267</v>
      </c>
      <c r="AK33" s="12">
        <v>692203348</v>
      </c>
      <c r="AL33" s="12"/>
    </row>
    <row r="34" spans="1:38" s="13" customFormat="1" ht="12.75">
      <c r="A34" s="29" t="s">
        <v>96</v>
      </c>
      <c r="B34" s="60" t="s">
        <v>64</v>
      </c>
      <c r="C34" s="39" t="s">
        <v>65</v>
      </c>
      <c r="D34" s="77">
        <v>1380721855</v>
      </c>
      <c r="E34" s="78">
        <v>244338094</v>
      </c>
      <c r="F34" s="79">
        <f t="shared" si="0"/>
        <v>1625059949</v>
      </c>
      <c r="G34" s="77">
        <v>1419554646</v>
      </c>
      <c r="H34" s="78">
        <v>258235581</v>
      </c>
      <c r="I34" s="80">
        <f t="shared" si="1"/>
        <v>1677790227</v>
      </c>
      <c r="J34" s="77">
        <v>315639192</v>
      </c>
      <c r="K34" s="78">
        <v>22452626</v>
      </c>
      <c r="L34" s="78">
        <f t="shared" si="2"/>
        <v>338091818</v>
      </c>
      <c r="M34" s="40">
        <f t="shared" si="3"/>
        <v>0.20804882811126374</v>
      </c>
      <c r="N34" s="105">
        <v>354165640</v>
      </c>
      <c r="O34" s="106">
        <v>38872699</v>
      </c>
      <c r="P34" s="107">
        <f t="shared" si="4"/>
        <v>393038339</v>
      </c>
      <c r="Q34" s="40">
        <f t="shared" si="5"/>
        <v>0.24186082442180723</v>
      </c>
      <c r="R34" s="105">
        <v>278791246</v>
      </c>
      <c r="S34" s="107">
        <v>36442595</v>
      </c>
      <c r="T34" s="107">
        <f t="shared" si="6"/>
        <v>315233841</v>
      </c>
      <c r="U34" s="40">
        <f t="shared" si="7"/>
        <v>0.1878863256723452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948596078</v>
      </c>
      <c r="AA34" s="78">
        <f t="shared" si="11"/>
        <v>97767920</v>
      </c>
      <c r="AB34" s="78">
        <f t="shared" si="12"/>
        <v>1046363998</v>
      </c>
      <c r="AC34" s="40">
        <f t="shared" si="13"/>
        <v>0.6236560334905324</v>
      </c>
      <c r="AD34" s="77">
        <v>311900184</v>
      </c>
      <c r="AE34" s="78">
        <v>38215236</v>
      </c>
      <c r="AF34" s="78">
        <f t="shared" si="14"/>
        <v>350115420</v>
      </c>
      <c r="AG34" s="40">
        <f>IF(1452943448=0,0,953480124/1452943448)</f>
        <v>0.656240354923986</v>
      </c>
      <c r="AH34" s="40">
        <f t="shared" si="15"/>
        <v>-0.09962879955415849</v>
      </c>
      <c r="AI34" s="12">
        <v>1409237773</v>
      </c>
      <c r="AJ34" s="12">
        <v>1452943448</v>
      </c>
      <c r="AK34" s="12">
        <v>953480124</v>
      </c>
      <c r="AL34" s="12"/>
    </row>
    <row r="35" spans="1:38" s="13" customFormat="1" ht="12.75">
      <c r="A35" s="29" t="s">
        <v>96</v>
      </c>
      <c r="B35" s="60" t="s">
        <v>634</v>
      </c>
      <c r="C35" s="39" t="s">
        <v>635</v>
      </c>
      <c r="D35" s="77">
        <v>523204293</v>
      </c>
      <c r="E35" s="78">
        <v>60928000</v>
      </c>
      <c r="F35" s="79">
        <f t="shared" si="0"/>
        <v>584132293</v>
      </c>
      <c r="G35" s="77">
        <v>561424867</v>
      </c>
      <c r="H35" s="78">
        <v>39738000</v>
      </c>
      <c r="I35" s="80">
        <f t="shared" si="1"/>
        <v>601162867</v>
      </c>
      <c r="J35" s="77">
        <v>206372870</v>
      </c>
      <c r="K35" s="78">
        <v>1739852</v>
      </c>
      <c r="L35" s="78">
        <f t="shared" si="2"/>
        <v>208112722</v>
      </c>
      <c r="M35" s="40">
        <f t="shared" si="3"/>
        <v>0.3562766936427533</v>
      </c>
      <c r="N35" s="105">
        <v>83956541</v>
      </c>
      <c r="O35" s="106">
        <v>5946054</v>
      </c>
      <c r="P35" s="107">
        <f t="shared" si="4"/>
        <v>89902595</v>
      </c>
      <c r="Q35" s="40">
        <f t="shared" si="5"/>
        <v>0.1539079350300532</v>
      </c>
      <c r="R35" s="105">
        <v>122016214</v>
      </c>
      <c r="S35" s="107">
        <v>13611051</v>
      </c>
      <c r="T35" s="107">
        <f t="shared" si="6"/>
        <v>135627265</v>
      </c>
      <c r="U35" s="40">
        <f t="shared" si="7"/>
        <v>0.22560818780578476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412345625</v>
      </c>
      <c r="AA35" s="78">
        <f t="shared" si="11"/>
        <v>21296957</v>
      </c>
      <c r="AB35" s="78">
        <f t="shared" si="12"/>
        <v>433642582</v>
      </c>
      <c r="AC35" s="40">
        <f t="shared" si="13"/>
        <v>0.7213395999723317</v>
      </c>
      <c r="AD35" s="77">
        <v>83108657</v>
      </c>
      <c r="AE35" s="78">
        <v>3259866</v>
      </c>
      <c r="AF35" s="78">
        <f t="shared" si="14"/>
        <v>86368523</v>
      </c>
      <c r="AG35" s="40">
        <f>IF(510063040=0,0,366981107/510063040)</f>
        <v>0.7194818644377762</v>
      </c>
      <c r="AH35" s="40">
        <f t="shared" si="15"/>
        <v>0.5703321104611225</v>
      </c>
      <c r="AI35" s="12">
        <v>510063040</v>
      </c>
      <c r="AJ35" s="12">
        <v>510063040</v>
      </c>
      <c r="AK35" s="12">
        <v>366981107</v>
      </c>
      <c r="AL35" s="12"/>
    </row>
    <row r="36" spans="1:38" s="13" customFormat="1" ht="12.75">
      <c r="A36" s="29" t="s">
        <v>96</v>
      </c>
      <c r="B36" s="60" t="s">
        <v>636</v>
      </c>
      <c r="C36" s="39" t="s">
        <v>637</v>
      </c>
      <c r="D36" s="77">
        <v>532748420</v>
      </c>
      <c r="E36" s="78">
        <v>89870191</v>
      </c>
      <c r="F36" s="79">
        <f t="shared" si="0"/>
        <v>622618611</v>
      </c>
      <c r="G36" s="77">
        <v>543161236</v>
      </c>
      <c r="H36" s="78">
        <v>101363931</v>
      </c>
      <c r="I36" s="80">
        <f t="shared" si="1"/>
        <v>644525167</v>
      </c>
      <c r="J36" s="77">
        <v>292856905</v>
      </c>
      <c r="K36" s="78">
        <v>14738349</v>
      </c>
      <c r="L36" s="78">
        <f t="shared" si="2"/>
        <v>307595254</v>
      </c>
      <c r="M36" s="40">
        <f t="shared" si="3"/>
        <v>0.4940347888187364</v>
      </c>
      <c r="N36" s="105">
        <v>80181661</v>
      </c>
      <c r="O36" s="106">
        <v>19366687</v>
      </c>
      <c r="P36" s="107">
        <f t="shared" si="4"/>
        <v>99548348</v>
      </c>
      <c r="Q36" s="40">
        <f t="shared" si="5"/>
        <v>0.15988656015295374</v>
      </c>
      <c r="R36" s="105">
        <v>81891143</v>
      </c>
      <c r="S36" s="107">
        <v>10933457</v>
      </c>
      <c r="T36" s="107">
        <f t="shared" si="6"/>
        <v>92824600</v>
      </c>
      <c r="U36" s="40">
        <f t="shared" si="7"/>
        <v>0.1440201325761419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454929709</v>
      </c>
      <c r="AA36" s="78">
        <f t="shared" si="11"/>
        <v>45038493</v>
      </c>
      <c r="AB36" s="78">
        <f t="shared" si="12"/>
        <v>499968202</v>
      </c>
      <c r="AC36" s="40">
        <f t="shared" si="13"/>
        <v>0.7757155617788312</v>
      </c>
      <c r="AD36" s="77">
        <v>89091787</v>
      </c>
      <c r="AE36" s="78">
        <v>13337475</v>
      </c>
      <c r="AF36" s="78">
        <f t="shared" si="14"/>
        <v>102429262</v>
      </c>
      <c r="AG36" s="40">
        <f>IF(563910119=0,0,408986815/563910119)</f>
        <v>0.725269508774323</v>
      </c>
      <c r="AH36" s="40">
        <f t="shared" si="15"/>
        <v>-0.0937687318297773</v>
      </c>
      <c r="AI36" s="12">
        <v>513654762</v>
      </c>
      <c r="AJ36" s="12">
        <v>563910119</v>
      </c>
      <c r="AK36" s="12">
        <v>408986815</v>
      </c>
      <c r="AL36" s="12"/>
    </row>
    <row r="37" spans="1:38" s="13" customFormat="1" ht="12.75">
      <c r="A37" s="29" t="s">
        <v>96</v>
      </c>
      <c r="B37" s="60" t="s">
        <v>638</v>
      </c>
      <c r="C37" s="39" t="s">
        <v>639</v>
      </c>
      <c r="D37" s="77">
        <v>668221750</v>
      </c>
      <c r="E37" s="78">
        <v>102682600</v>
      </c>
      <c r="F37" s="79">
        <f t="shared" si="0"/>
        <v>770904350</v>
      </c>
      <c r="G37" s="77">
        <v>692644800</v>
      </c>
      <c r="H37" s="78">
        <v>107810333</v>
      </c>
      <c r="I37" s="80">
        <f t="shared" si="1"/>
        <v>800455133</v>
      </c>
      <c r="J37" s="77">
        <v>325666458</v>
      </c>
      <c r="K37" s="78">
        <v>18983393</v>
      </c>
      <c r="L37" s="78">
        <f t="shared" si="2"/>
        <v>344649851</v>
      </c>
      <c r="M37" s="40">
        <f t="shared" si="3"/>
        <v>0.4470721315815639</v>
      </c>
      <c r="N37" s="105">
        <v>95970898</v>
      </c>
      <c r="O37" s="106">
        <v>31834669</v>
      </c>
      <c r="P37" s="107">
        <f t="shared" si="4"/>
        <v>127805567</v>
      </c>
      <c r="Q37" s="40">
        <f t="shared" si="5"/>
        <v>0.16578654277926957</v>
      </c>
      <c r="R37" s="105">
        <v>104525138</v>
      </c>
      <c r="S37" s="107">
        <v>14801211</v>
      </c>
      <c r="T37" s="107">
        <f t="shared" si="6"/>
        <v>119326349</v>
      </c>
      <c r="U37" s="40">
        <f t="shared" si="7"/>
        <v>0.14907312612610857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526162494</v>
      </c>
      <c r="AA37" s="78">
        <f t="shared" si="11"/>
        <v>65619273</v>
      </c>
      <c r="AB37" s="78">
        <f t="shared" si="12"/>
        <v>591781767</v>
      </c>
      <c r="AC37" s="40">
        <f t="shared" si="13"/>
        <v>0.7393066052085645</v>
      </c>
      <c r="AD37" s="77">
        <v>97883180</v>
      </c>
      <c r="AE37" s="78">
        <v>9900574</v>
      </c>
      <c r="AF37" s="78">
        <f t="shared" si="14"/>
        <v>107783754</v>
      </c>
      <c r="AG37" s="40">
        <f>IF(705646860=0,0,506415026/705646860)</f>
        <v>0.7176607092108367</v>
      </c>
      <c r="AH37" s="40">
        <f t="shared" si="15"/>
        <v>0.1070903041658764</v>
      </c>
      <c r="AI37" s="12">
        <v>606939940</v>
      </c>
      <c r="AJ37" s="12">
        <v>705646860</v>
      </c>
      <c r="AK37" s="12">
        <v>506415026</v>
      </c>
      <c r="AL37" s="12"/>
    </row>
    <row r="38" spans="1:38" s="13" customFormat="1" ht="12.75">
      <c r="A38" s="29" t="s">
        <v>115</v>
      </c>
      <c r="B38" s="60" t="s">
        <v>640</v>
      </c>
      <c r="C38" s="39" t="s">
        <v>641</v>
      </c>
      <c r="D38" s="77">
        <v>347615125</v>
      </c>
      <c r="E38" s="78">
        <v>1035000</v>
      </c>
      <c r="F38" s="79">
        <f t="shared" si="0"/>
        <v>348650125</v>
      </c>
      <c r="G38" s="77">
        <v>375786041</v>
      </c>
      <c r="H38" s="78">
        <v>2290501</v>
      </c>
      <c r="I38" s="80">
        <f t="shared" si="1"/>
        <v>378076542</v>
      </c>
      <c r="J38" s="77">
        <v>96052534</v>
      </c>
      <c r="K38" s="78">
        <v>25240</v>
      </c>
      <c r="L38" s="78">
        <f t="shared" si="2"/>
        <v>96077774</v>
      </c>
      <c r="M38" s="40">
        <f t="shared" si="3"/>
        <v>0.2755707430192374</v>
      </c>
      <c r="N38" s="105">
        <v>56248853</v>
      </c>
      <c r="O38" s="106">
        <v>209432</v>
      </c>
      <c r="P38" s="107">
        <f t="shared" si="4"/>
        <v>56458285</v>
      </c>
      <c r="Q38" s="40">
        <f t="shared" si="5"/>
        <v>0.16193393018287316</v>
      </c>
      <c r="R38" s="105">
        <v>45377658</v>
      </c>
      <c r="S38" s="107">
        <v>374810</v>
      </c>
      <c r="T38" s="107">
        <f t="shared" si="6"/>
        <v>45752468</v>
      </c>
      <c r="U38" s="40">
        <f t="shared" si="7"/>
        <v>0.12101377080411405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197679045</v>
      </c>
      <c r="AA38" s="78">
        <f t="shared" si="11"/>
        <v>609482</v>
      </c>
      <c r="AB38" s="78">
        <f t="shared" si="12"/>
        <v>198288527</v>
      </c>
      <c r="AC38" s="40">
        <f t="shared" si="13"/>
        <v>0.5244666224227157</v>
      </c>
      <c r="AD38" s="77">
        <v>48295982</v>
      </c>
      <c r="AE38" s="78">
        <v>468699</v>
      </c>
      <c r="AF38" s="78">
        <f t="shared" si="14"/>
        <v>48764681</v>
      </c>
      <c r="AG38" s="40">
        <f>IF(338598118=0,0,194292041/338598118)</f>
        <v>0.5738131155235777</v>
      </c>
      <c r="AH38" s="40">
        <f t="shared" si="15"/>
        <v>-0.06177038254387435</v>
      </c>
      <c r="AI38" s="12">
        <v>317116882</v>
      </c>
      <c r="AJ38" s="12">
        <v>338598118</v>
      </c>
      <c r="AK38" s="12">
        <v>194292041</v>
      </c>
      <c r="AL38" s="12"/>
    </row>
    <row r="39" spans="1:38" s="56" customFormat="1" ht="12.75">
      <c r="A39" s="61"/>
      <c r="B39" s="62" t="s">
        <v>642</v>
      </c>
      <c r="C39" s="32"/>
      <c r="D39" s="81">
        <f>SUM(D31:D38)</f>
        <v>4755126881</v>
      </c>
      <c r="E39" s="82">
        <f>SUM(E31:E38)</f>
        <v>826505860</v>
      </c>
      <c r="F39" s="90">
        <f t="shared" si="0"/>
        <v>5581632741</v>
      </c>
      <c r="G39" s="81">
        <f>SUM(G31:G38)</f>
        <v>4930606503</v>
      </c>
      <c r="H39" s="82">
        <f>SUM(H31:H38)</f>
        <v>819043047</v>
      </c>
      <c r="I39" s="83">
        <f t="shared" si="1"/>
        <v>5749649550</v>
      </c>
      <c r="J39" s="81">
        <f>SUM(J31:J38)</f>
        <v>1732615964</v>
      </c>
      <c r="K39" s="82">
        <f>SUM(K31:K38)</f>
        <v>83538006</v>
      </c>
      <c r="L39" s="82">
        <f t="shared" si="2"/>
        <v>1816153970</v>
      </c>
      <c r="M39" s="44">
        <f t="shared" si="3"/>
        <v>0.32538041363047826</v>
      </c>
      <c r="N39" s="111">
        <f>SUM(N31:N38)</f>
        <v>928614171</v>
      </c>
      <c r="O39" s="112">
        <f>SUM(O31:O38)</f>
        <v>145467875</v>
      </c>
      <c r="P39" s="113">
        <f t="shared" si="4"/>
        <v>1074082046</v>
      </c>
      <c r="Q39" s="44">
        <f t="shared" si="5"/>
        <v>0.19243151526439708</v>
      </c>
      <c r="R39" s="111">
        <f>SUM(R31:R38)</f>
        <v>854057964</v>
      </c>
      <c r="S39" s="113">
        <f>SUM(S31:S38)</f>
        <v>122636382</v>
      </c>
      <c r="T39" s="113">
        <f t="shared" si="6"/>
        <v>976694346</v>
      </c>
      <c r="U39" s="44">
        <f t="shared" si="7"/>
        <v>0.1698702394826829</v>
      </c>
      <c r="V39" s="111">
        <f>SUM(V31:V38)</f>
        <v>0</v>
      </c>
      <c r="W39" s="113">
        <f>SUM(W31:W38)</f>
        <v>0</v>
      </c>
      <c r="X39" s="113">
        <f t="shared" si="8"/>
        <v>0</v>
      </c>
      <c r="Y39" s="44">
        <f t="shared" si="9"/>
        <v>0</v>
      </c>
      <c r="Z39" s="81">
        <f t="shared" si="10"/>
        <v>3515288099</v>
      </c>
      <c r="AA39" s="82">
        <f t="shared" si="11"/>
        <v>351642263</v>
      </c>
      <c r="AB39" s="82">
        <f t="shared" si="12"/>
        <v>3866930362</v>
      </c>
      <c r="AC39" s="44">
        <f t="shared" si="13"/>
        <v>0.6725506186720546</v>
      </c>
      <c r="AD39" s="81">
        <f>SUM(AD31:AD38)</f>
        <v>883138210</v>
      </c>
      <c r="AE39" s="82">
        <f>SUM(AE31:AE38)</f>
        <v>99335581</v>
      </c>
      <c r="AF39" s="82">
        <f t="shared" si="14"/>
        <v>982473791</v>
      </c>
      <c r="AG39" s="44">
        <f>IF(338598118=0,0,194292041/338598118)</f>
        <v>0.5738131155235777</v>
      </c>
      <c r="AH39" s="44">
        <f t="shared" si="15"/>
        <v>-0.005882543690165498</v>
      </c>
      <c r="AI39" s="63">
        <f>SUM(AI31:AI38)</f>
        <v>4760624110</v>
      </c>
      <c r="AJ39" s="63">
        <f>SUM(AJ31:AJ38)</f>
        <v>5038598405</v>
      </c>
      <c r="AK39" s="63">
        <f>SUM(AK31:AK38)</f>
        <v>3467958481</v>
      </c>
      <c r="AL39" s="63"/>
    </row>
    <row r="40" spans="1:38" s="13" customFormat="1" ht="12.75">
      <c r="A40" s="29" t="s">
        <v>96</v>
      </c>
      <c r="B40" s="60" t="s">
        <v>643</v>
      </c>
      <c r="C40" s="39" t="s">
        <v>644</v>
      </c>
      <c r="D40" s="77">
        <v>67977200</v>
      </c>
      <c r="E40" s="78">
        <v>26182000</v>
      </c>
      <c r="F40" s="79">
        <f t="shared" si="0"/>
        <v>94159200</v>
      </c>
      <c r="G40" s="77">
        <v>61125112</v>
      </c>
      <c r="H40" s="78">
        <v>0</v>
      </c>
      <c r="I40" s="80">
        <f t="shared" si="1"/>
        <v>61125112</v>
      </c>
      <c r="J40" s="77">
        <v>21399899</v>
      </c>
      <c r="K40" s="78">
        <v>2339383</v>
      </c>
      <c r="L40" s="78">
        <f t="shared" si="2"/>
        <v>23739282</v>
      </c>
      <c r="M40" s="40">
        <f t="shared" si="3"/>
        <v>0.2521185609053603</v>
      </c>
      <c r="N40" s="105">
        <v>19459906</v>
      </c>
      <c r="O40" s="106">
        <v>6157415</v>
      </c>
      <c r="P40" s="107">
        <f t="shared" si="4"/>
        <v>25617321</v>
      </c>
      <c r="Q40" s="40">
        <f t="shared" si="5"/>
        <v>0.27206391940458285</v>
      </c>
      <c r="R40" s="105">
        <v>12481724</v>
      </c>
      <c r="S40" s="107">
        <v>10674218</v>
      </c>
      <c r="T40" s="107">
        <f t="shared" si="6"/>
        <v>23155942</v>
      </c>
      <c r="U40" s="40">
        <f t="shared" si="7"/>
        <v>0.3788286228416236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53341529</v>
      </c>
      <c r="AA40" s="78">
        <f t="shared" si="11"/>
        <v>19171016</v>
      </c>
      <c r="AB40" s="78">
        <f t="shared" si="12"/>
        <v>72512545</v>
      </c>
      <c r="AC40" s="40">
        <f t="shared" si="13"/>
        <v>1.1862971310383856</v>
      </c>
      <c r="AD40" s="77">
        <v>10218178</v>
      </c>
      <c r="AE40" s="78">
        <v>1576791</v>
      </c>
      <c r="AF40" s="78">
        <f t="shared" si="14"/>
        <v>11794969</v>
      </c>
      <c r="AG40" s="40">
        <f>IF(84967364=0,0,50975138/84967364)</f>
        <v>0.5999378537858371</v>
      </c>
      <c r="AH40" s="40">
        <f t="shared" si="15"/>
        <v>0.9632049901953961</v>
      </c>
      <c r="AI40" s="12">
        <v>52911000</v>
      </c>
      <c r="AJ40" s="12">
        <v>84967364</v>
      </c>
      <c r="AK40" s="12">
        <v>50975138</v>
      </c>
      <c r="AL40" s="12"/>
    </row>
    <row r="41" spans="1:38" s="13" customFormat="1" ht="12.75">
      <c r="A41" s="29" t="s">
        <v>96</v>
      </c>
      <c r="B41" s="60" t="s">
        <v>645</v>
      </c>
      <c r="C41" s="39" t="s">
        <v>646</v>
      </c>
      <c r="D41" s="77">
        <v>53781744</v>
      </c>
      <c r="E41" s="78">
        <v>10292700</v>
      </c>
      <c r="F41" s="79">
        <f t="shared" si="0"/>
        <v>64074444</v>
      </c>
      <c r="G41" s="77">
        <v>69220834</v>
      </c>
      <c r="H41" s="78">
        <v>31777579</v>
      </c>
      <c r="I41" s="80">
        <f t="shared" si="1"/>
        <v>100998413</v>
      </c>
      <c r="J41" s="77">
        <v>14947067</v>
      </c>
      <c r="K41" s="78">
        <v>1924904</v>
      </c>
      <c r="L41" s="78">
        <f t="shared" si="2"/>
        <v>16871971</v>
      </c>
      <c r="M41" s="40">
        <f t="shared" si="3"/>
        <v>0.26331825836834416</v>
      </c>
      <c r="N41" s="105">
        <v>8903285</v>
      </c>
      <c r="O41" s="106">
        <v>549873</v>
      </c>
      <c r="P41" s="107">
        <f t="shared" si="4"/>
        <v>9453158</v>
      </c>
      <c r="Q41" s="40">
        <f t="shared" si="5"/>
        <v>0.14753398406391166</v>
      </c>
      <c r="R41" s="105">
        <v>8228887</v>
      </c>
      <c r="S41" s="107">
        <v>2902556</v>
      </c>
      <c r="T41" s="107">
        <f t="shared" si="6"/>
        <v>11131443</v>
      </c>
      <c r="U41" s="40">
        <f t="shared" si="7"/>
        <v>0.11021403870969734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32079239</v>
      </c>
      <c r="AA41" s="78">
        <f t="shared" si="11"/>
        <v>5377333</v>
      </c>
      <c r="AB41" s="78">
        <f t="shared" si="12"/>
        <v>37456572</v>
      </c>
      <c r="AC41" s="40">
        <f t="shared" si="13"/>
        <v>0.37086297583705596</v>
      </c>
      <c r="AD41" s="77">
        <v>-300308</v>
      </c>
      <c r="AE41" s="78">
        <v>15228182</v>
      </c>
      <c r="AF41" s="78">
        <f t="shared" si="14"/>
        <v>14927874</v>
      </c>
      <c r="AG41" s="40">
        <f>IF(90588301=0,0,96164003/90588301)</f>
        <v>1.061549912499187</v>
      </c>
      <c r="AH41" s="40">
        <f t="shared" si="15"/>
        <v>-0.25431826394033064</v>
      </c>
      <c r="AI41" s="12">
        <v>60304697</v>
      </c>
      <c r="AJ41" s="12">
        <v>90588301</v>
      </c>
      <c r="AK41" s="12">
        <v>96164003</v>
      </c>
      <c r="AL41" s="12"/>
    </row>
    <row r="42" spans="1:38" s="13" customFormat="1" ht="12.75">
      <c r="A42" s="29" t="s">
        <v>96</v>
      </c>
      <c r="B42" s="60" t="s">
        <v>647</v>
      </c>
      <c r="C42" s="39" t="s">
        <v>648</v>
      </c>
      <c r="D42" s="77">
        <v>257177313</v>
      </c>
      <c r="E42" s="78">
        <v>20024200</v>
      </c>
      <c r="F42" s="79">
        <f t="shared" si="0"/>
        <v>277201513</v>
      </c>
      <c r="G42" s="77">
        <v>285734374</v>
      </c>
      <c r="H42" s="78">
        <v>34428829</v>
      </c>
      <c r="I42" s="80">
        <f t="shared" si="1"/>
        <v>320163203</v>
      </c>
      <c r="J42" s="77">
        <v>76039514</v>
      </c>
      <c r="K42" s="78">
        <v>4291392</v>
      </c>
      <c r="L42" s="78">
        <f t="shared" si="2"/>
        <v>80330906</v>
      </c>
      <c r="M42" s="40">
        <f t="shared" si="3"/>
        <v>0.28979245145750704</v>
      </c>
      <c r="N42" s="105">
        <v>65633498</v>
      </c>
      <c r="O42" s="106">
        <v>3404092</v>
      </c>
      <c r="P42" s="107">
        <f t="shared" si="4"/>
        <v>69037590</v>
      </c>
      <c r="Q42" s="40">
        <f t="shared" si="5"/>
        <v>0.2490519956144684</v>
      </c>
      <c r="R42" s="105">
        <v>58043217</v>
      </c>
      <c r="S42" s="107">
        <v>5374676</v>
      </c>
      <c r="T42" s="107">
        <f t="shared" si="6"/>
        <v>63417893</v>
      </c>
      <c r="U42" s="40">
        <f t="shared" si="7"/>
        <v>0.1980798930225595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199716229</v>
      </c>
      <c r="AA42" s="78">
        <f t="shared" si="11"/>
        <v>13070160</v>
      </c>
      <c r="AB42" s="78">
        <f t="shared" si="12"/>
        <v>212786389</v>
      </c>
      <c r="AC42" s="40">
        <f t="shared" si="13"/>
        <v>0.6646185039571834</v>
      </c>
      <c r="AD42" s="77">
        <v>46964773</v>
      </c>
      <c r="AE42" s="78">
        <v>8141992</v>
      </c>
      <c r="AF42" s="78">
        <f t="shared" si="14"/>
        <v>55106765</v>
      </c>
      <c r="AG42" s="40">
        <f>IF(299065253=0,0,188062471/299065253)</f>
        <v>0.6288342397302839</v>
      </c>
      <c r="AH42" s="40">
        <f t="shared" si="15"/>
        <v>0.15081865175718434</v>
      </c>
      <c r="AI42" s="12">
        <v>261410919</v>
      </c>
      <c r="AJ42" s="12">
        <v>299065253</v>
      </c>
      <c r="AK42" s="12">
        <v>188062471</v>
      </c>
      <c r="AL42" s="12"/>
    </row>
    <row r="43" spans="1:38" s="13" customFormat="1" ht="12.75">
      <c r="A43" s="29" t="s">
        <v>115</v>
      </c>
      <c r="B43" s="60" t="s">
        <v>649</v>
      </c>
      <c r="C43" s="39" t="s">
        <v>650</v>
      </c>
      <c r="D43" s="77">
        <v>78497523</v>
      </c>
      <c r="E43" s="78">
        <v>295000</v>
      </c>
      <c r="F43" s="80">
        <f t="shared" si="0"/>
        <v>78792523</v>
      </c>
      <c r="G43" s="77">
        <v>86209854</v>
      </c>
      <c r="H43" s="78">
        <v>115000</v>
      </c>
      <c r="I43" s="79">
        <f t="shared" si="1"/>
        <v>86324854</v>
      </c>
      <c r="J43" s="77">
        <v>19121368</v>
      </c>
      <c r="K43" s="91">
        <v>10953</v>
      </c>
      <c r="L43" s="78">
        <f t="shared" si="2"/>
        <v>19132321</v>
      </c>
      <c r="M43" s="40">
        <f t="shared" si="3"/>
        <v>0.2428189918477417</v>
      </c>
      <c r="N43" s="105">
        <v>23450037</v>
      </c>
      <c r="O43" s="106">
        <v>44535</v>
      </c>
      <c r="P43" s="107">
        <f t="shared" si="4"/>
        <v>23494572</v>
      </c>
      <c r="Q43" s="40">
        <f t="shared" si="5"/>
        <v>0.298182760310899</v>
      </c>
      <c r="R43" s="105">
        <v>17126673</v>
      </c>
      <c r="S43" s="107">
        <v>0</v>
      </c>
      <c r="T43" s="107">
        <f t="shared" si="6"/>
        <v>17126673</v>
      </c>
      <c r="U43" s="40">
        <f t="shared" si="7"/>
        <v>0.19839793763219107</v>
      </c>
      <c r="V43" s="105">
        <v>0</v>
      </c>
      <c r="W43" s="107">
        <v>0</v>
      </c>
      <c r="X43" s="107">
        <f t="shared" si="8"/>
        <v>0</v>
      </c>
      <c r="Y43" s="40">
        <f t="shared" si="9"/>
        <v>0</v>
      </c>
      <c r="Z43" s="77">
        <f t="shared" si="10"/>
        <v>59698078</v>
      </c>
      <c r="AA43" s="78">
        <f t="shared" si="11"/>
        <v>55488</v>
      </c>
      <c r="AB43" s="78">
        <f t="shared" si="12"/>
        <v>59753566</v>
      </c>
      <c r="AC43" s="40">
        <f t="shared" si="13"/>
        <v>0.6921942318025814</v>
      </c>
      <c r="AD43" s="77">
        <v>19427844</v>
      </c>
      <c r="AE43" s="78">
        <v>60048</v>
      </c>
      <c r="AF43" s="78">
        <f t="shared" si="14"/>
        <v>19487892</v>
      </c>
      <c r="AG43" s="40">
        <f>IF(83308555=0,0,59071550/83308555)</f>
        <v>0.7090694347057154</v>
      </c>
      <c r="AH43" s="40">
        <f t="shared" si="15"/>
        <v>-0.12116338698921358</v>
      </c>
      <c r="AI43" s="12">
        <v>57460080</v>
      </c>
      <c r="AJ43" s="12">
        <v>83308555</v>
      </c>
      <c r="AK43" s="12">
        <v>59071550</v>
      </c>
      <c r="AL43" s="12"/>
    </row>
    <row r="44" spans="1:38" s="56" customFormat="1" ht="12.75">
      <c r="A44" s="61"/>
      <c r="B44" s="62" t="s">
        <v>651</v>
      </c>
      <c r="C44" s="32"/>
      <c r="D44" s="81">
        <f>SUM(D40:D43)</f>
        <v>457433780</v>
      </c>
      <c r="E44" s="82">
        <f>SUM(E40:E43)</f>
        <v>56793900</v>
      </c>
      <c r="F44" s="83">
        <f t="shared" si="0"/>
        <v>514227680</v>
      </c>
      <c r="G44" s="81">
        <f>SUM(G40:G43)</f>
        <v>502290174</v>
      </c>
      <c r="H44" s="82">
        <f>SUM(H40:H43)</f>
        <v>66321408</v>
      </c>
      <c r="I44" s="90">
        <f t="shared" si="1"/>
        <v>568611582</v>
      </c>
      <c r="J44" s="81">
        <f>SUM(J40:J43)</f>
        <v>131507848</v>
      </c>
      <c r="K44" s="92">
        <f>SUM(K40:K43)</f>
        <v>8566632</v>
      </c>
      <c r="L44" s="82">
        <f t="shared" si="2"/>
        <v>140074480</v>
      </c>
      <c r="M44" s="44">
        <f t="shared" si="3"/>
        <v>0.27239778302093737</v>
      </c>
      <c r="N44" s="111">
        <f>SUM(N40:N43)</f>
        <v>117446726</v>
      </c>
      <c r="O44" s="112">
        <f>SUM(O40:O43)</f>
        <v>10155915</v>
      </c>
      <c r="P44" s="113">
        <f t="shared" si="4"/>
        <v>127602641</v>
      </c>
      <c r="Q44" s="44">
        <f t="shared" si="5"/>
        <v>0.24814424808870655</v>
      </c>
      <c r="R44" s="111">
        <f>SUM(R40:R43)</f>
        <v>95880501</v>
      </c>
      <c r="S44" s="113">
        <f>SUM(S40:S43)</f>
        <v>18951450</v>
      </c>
      <c r="T44" s="113">
        <f t="shared" si="6"/>
        <v>114831951</v>
      </c>
      <c r="U44" s="44">
        <f t="shared" si="7"/>
        <v>0.20195148082650205</v>
      </c>
      <c r="V44" s="111">
        <f>SUM(V40:V43)</f>
        <v>0</v>
      </c>
      <c r="W44" s="113">
        <f>SUM(W40:W43)</f>
        <v>0</v>
      </c>
      <c r="X44" s="113">
        <f t="shared" si="8"/>
        <v>0</v>
      </c>
      <c r="Y44" s="44">
        <f t="shared" si="9"/>
        <v>0</v>
      </c>
      <c r="Z44" s="81">
        <f t="shared" si="10"/>
        <v>344835075</v>
      </c>
      <c r="AA44" s="82">
        <f t="shared" si="11"/>
        <v>37673997</v>
      </c>
      <c r="AB44" s="82">
        <f t="shared" si="12"/>
        <v>382509072</v>
      </c>
      <c r="AC44" s="44">
        <f t="shared" si="13"/>
        <v>0.6727071415861522</v>
      </c>
      <c r="AD44" s="81">
        <f>SUM(AD40:AD43)</f>
        <v>76310487</v>
      </c>
      <c r="AE44" s="82">
        <f>SUM(AE40:AE43)</f>
        <v>25007013</v>
      </c>
      <c r="AF44" s="82">
        <f t="shared" si="14"/>
        <v>101317500</v>
      </c>
      <c r="AG44" s="44">
        <f>IF(83308555=0,0,59071550/83308555)</f>
        <v>0.7090694347057154</v>
      </c>
      <c r="AH44" s="44">
        <f t="shared" si="15"/>
        <v>0.13338713450292405</v>
      </c>
      <c r="AI44" s="63">
        <f>SUM(AI40:AI43)</f>
        <v>432086696</v>
      </c>
      <c r="AJ44" s="63">
        <f>SUM(AJ40:AJ43)</f>
        <v>557929473</v>
      </c>
      <c r="AK44" s="63">
        <f>SUM(AK40:AK43)</f>
        <v>394273162</v>
      </c>
      <c r="AL44" s="63"/>
    </row>
    <row r="45" spans="1:38" s="56" customFormat="1" ht="12.75">
      <c r="A45" s="61"/>
      <c r="B45" s="62" t="s">
        <v>652</v>
      </c>
      <c r="C45" s="32"/>
      <c r="D45" s="81">
        <f>SUM(D9,D11:D16,D18:D23,D25:D29,D31:D38,D40:D43)</f>
        <v>46413208361</v>
      </c>
      <c r="E45" s="82">
        <f>SUM(E9,E11:E16,E18:E23,E25:E29,E31:E38,E40:E43)</f>
        <v>8442519561</v>
      </c>
      <c r="F45" s="83">
        <f t="shared" si="0"/>
        <v>54855727922</v>
      </c>
      <c r="G45" s="81">
        <f>SUM(G9,G11:G16,G18:G23,G25:G29,G31:G38,G40:G43)</f>
        <v>47740448240</v>
      </c>
      <c r="H45" s="82">
        <f>SUM(H9,H11:H16,H18:H23,H25:H29,H31:H38,H40:H43)</f>
        <v>9038903495</v>
      </c>
      <c r="I45" s="90">
        <f t="shared" si="1"/>
        <v>56779351735</v>
      </c>
      <c r="J45" s="81">
        <f>SUM(J9,J11:J16,J18:J23,J25:J29,J31:J38,J40:J43)</f>
        <v>12658900195</v>
      </c>
      <c r="K45" s="92">
        <f>SUM(K9,K11:K16,K18:K23,K25:K29,K31:K38,K40:K43)</f>
        <v>1020337118</v>
      </c>
      <c r="L45" s="82">
        <f t="shared" si="2"/>
        <v>13679237313</v>
      </c>
      <c r="M45" s="44">
        <f t="shared" si="3"/>
        <v>0.24936752881031252</v>
      </c>
      <c r="N45" s="111">
        <f>SUM(N9,N11:N16,N18:N23,N25:N29,N31:N38,N40:N43)</f>
        <v>11615139819</v>
      </c>
      <c r="O45" s="112">
        <f>SUM(O9,O11:O16,O18:O23,O25:O29,O31:O38,O40:O43)</f>
        <v>1636085439</v>
      </c>
      <c r="P45" s="113">
        <f t="shared" si="4"/>
        <v>13251225258</v>
      </c>
      <c r="Q45" s="44">
        <f t="shared" si="5"/>
        <v>0.24156502447368983</v>
      </c>
      <c r="R45" s="111">
        <f>SUM(R9,R11:R16,R18:R23,R25:R29,R31:R38,R40:R43)</f>
        <v>11615926787</v>
      </c>
      <c r="S45" s="113">
        <f>SUM(S9,S11:S16,S18:S23,S25:S29,S31:S38,S40:S43)</f>
        <v>1275560761</v>
      </c>
      <c r="T45" s="113">
        <f t="shared" si="6"/>
        <v>12891487548</v>
      </c>
      <c r="U45" s="44">
        <f t="shared" si="7"/>
        <v>0.22704534578286517</v>
      </c>
      <c r="V45" s="111">
        <f>SUM(V9,V11:V16,V18:V23,V25:V29,V31:V38,V40:V43)</f>
        <v>0</v>
      </c>
      <c r="W45" s="113">
        <f>SUM(W9,W11:W16,W18:W23,W25:W29,W31:W38,W40:W43)</f>
        <v>0</v>
      </c>
      <c r="X45" s="113">
        <f t="shared" si="8"/>
        <v>0</v>
      </c>
      <c r="Y45" s="44">
        <f t="shared" si="9"/>
        <v>0</v>
      </c>
      <c r="Z45" s="81">
        <f t="shared" si="10"/>
        <v>35889966801</v>
      </c>
      <c r="AA45" s="82">
        <f t="shared" si="11"/>
        <v>3931983318</v>
      </c>
      <c r="AB45" s="82">
        <f t="shared" si="12"/>
        <v>39821950119</v>
      </c>
      <c r="AC45" s="44">
        <f t="shared" si="13"/>
        <v>0.7013456283343387</v>
      </c>
      <c r="AD45" s="81">
        <f>SUM(AD9,AD11:AD16,AD18:AD23,AD25:AD29,AD31:AD38,AD40:AD43)</f>
        <v>11088801480</v>
      </c>
      <c r="AE45" s="82">
        <f>SUM(AE9,AE11:AE16,AE18:AE23,AE25:AE29,AE31:AE38,AE40:AE43)</f>
        <v>1082245500</v>
      </c>
      <c r="AF45" s="82">
        <f t="shared" si="14"/>
        <v>12171046980</v>
      </c>
      <c r="AG45" s="44">
        <f>IF(83308555=0,0,59071550/83308555)</f>
        <v>0.7090694347057154</v>
      </c>
      <c r="AH45" s="44">
        <f t="shared" si="15"/>
        <v>0.05919298226223746</v>
      </c>
      <c r="AI45" s="63">
        <f>SUM(AI9,AI11:AI16,AI18:AI23,AI25:AI29,AI31:AI38,AI40:AI43)</f>
        <v>49580121737</v>
      </c>
      <c r="AJ45" s="63">
        <f>SUM(AJ9,AJ11:AJ16,AJ18:AJ23,AJ25:AJ29,AJ31:AJ38,AJ40:AJ43)</f>
        <v>51033817907</v>
      </c>
      <c r="AK45" s="63">
        <f>SUM(AK9,AK11:AK16,AK18:AK23,AK25:AK29,AK31:AK38,AK40:AK43)</f>
        <v>36167119851</v>
      </c>
      <c r="AL45" s="63"/>
    </row>
    <row r="46" spans="1:38" s="13" customFormat="1" ht="12.75">
      <c r="A46" s="64"/>
      <c r="B46" s="65"/>
      <c r="C46" s="66"/>
      <c r="D46" s="93"/>
      <c r="E46" s="93"/>
      <c r="F46" s="94"/>
      <c r="G46" s="95"/>
      <c r="H46" s="93"/>
      <c r="I46" s="96"/>
      <c r="J46" s="95"/>
      <c r="K46" s="97"/>
      <c r="L46" s="93"/>
      <c r="M46" s="70"/>
      <c r="N46" s="95"/>
      <c r="O46" s="97"/>
      <c r="P46" s="93"/>
      <c r="Q46" s="70"/>
      <c r="R46" s="95"/>
      <c r="S46" s="97"/>
      <c r="T46" s="93"/>
      <c r="U46" s="70"/>
      <c r="V46" s="95"/>
      <c r="W46" s="97"/>
      <c r="X46" s="93"/>
      <c r="Y46" s="70"/>
      <c r="Z46" s="95"/>
      <c r="AA46" s="97"/>
      <c r="AB46" s="93"/>
      <c r="AC46" s="70"/>
      <c r="AD46" s="95"/>
      <c r="AE46" s="93"/>
      <c r="AF46" s="93"/>
      <c r="AG46" s="70"/>
      <c r="AH46" s="70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88"/>
      <c r="E47" s="88"/>
      <c r="F47" s="88"/>
      <c r="G47" s="88"/>
      <c r="H47" s="88"/>
      <c r="I47" s="88"/>
      <c r="J47" s="88"/>
      <c r="K47" s="88"/>
      <c r="L47" s="88"/>
      <c r="M47" s="12"/>
      <c r="N47" s="88"/>
      <c r="O47" s="88"/>
      <c r="P47" s="88"/>
      <c r="Q47" s="12"/>
      <c r="R47" s="88"/>
      <c r="S47" s="88"/>
      <c r="T47" s="88"/>
      <c r="U47" s="12"/>
      <c r="V47" s="88"/>
      <c r="W47" s="88"/>
      <c r="X47" s="88"/>
      <c r="Y47" s="12"/>
      <c r="Z47" s="88"/>
      <c r="AA47" s="88"/>
      <c r="AB47" s="88"/>
      <c r="AC47" s="12"/>
      <c r="AD47" s="88"/>
      <c r="AE47" s="88"/>
      <c r="AF47" s="88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88"/>
      <c r="E48" s="88"/>
      <c r="F48" s="88"/>
      <c r="G48" s="88"/>
      <c r="H48" s="88"/>
      <c r="I48" s="88"/>
      <c r="J48" s="88"/>
      <c r="K48" s="88"/>
      <c r="L48" s="88"/>
      <c r="M48" s="12"/>
      <c r="N48" s="88"/>
      <c r="O48" s="88"/>
      <c r="P48" s="88"/>
      <c r="Q48" s="12"/>
      <c r="R48" s="88"/>
      <c r="S48" s="88"/>
      <c r="T48" s="88"/>
      <c r="U48" s="12"/>
      <c r="V48" s="88"/>
      <c r="W48" s="88"/>
      <c r="X48" s="88"/>
      <c r="Y48" s="12"/>
      <c r="Z48" s="88"/>
      <c r="AA48" s="88"/>
      <c r="AB48" s="88"/>
      <c r="AC48" s="12"/>
      <c r="AD48" s="88"/>
      <c r="AE48" s="88"/>
      <c r="AF48" s="88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88"/>
      <c r="E49" s="88"/>
      <c r="F49" s="88"/>
      <c r="G49" s="88"/>
      <c r="H49" s="88"/>
      <c r="I49" s="88"/>
      <c r="J49" s="88"/>
      <c r="K49" s="88"/>
      <c r="L49" s="88"/>
      <c r="M49" s="12"/>
      <c r="N49" s="88"/>
      <c r="O49" s="88"/>
      <c r="P49" s="88"/>
      <c r="Q49" s="12"/>
      <c r="R49" s="88"/>
      <c r="S49" s="88"/>
      <c r="T49" s="88"/>
      <c r="U49" s="12"/>
      <c r="V49" s="88"/>
      <c r="W49" s="88"/>
      <c r="X49" s="88"/>
      <c r="Y49" s="12"/>
      <c r="Z49" s="88"/>
      <c r="AA49" s="88"/>
      <c r="AB49" s="88"/>
      <c r="AC49" s="12"/>
      <c r="AD49" s="88"/>
      <c r="AE49" s="88"/>
      <c r="AF49" s="88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19.421875" style="3" customWidth="1"/>
    <col min="3" max="3" width="6.7109375" style="135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 customHeight="1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31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131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1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132" t="s">
        <v>41</v>
      </c>
      <c r="D9" s="77">
        <v>5719607491</v>
      </c>
      <c r="E9" s="78">
        <v>1275354230</v>
      </c>
      <c r="F9" s="79">
        <f>$D9+$E9</f>
        <v>6994961721</v>
      </c>
      <c r="G9" s="77">
        <v>5910447969</v>
      </c>
      <c r="H9" s="78">
        <v>1380149467</v>
      </c>
      <c r="I9" s="80">
        <f>$G9+$H9</f>
        <v>7290597436</v>
      </c>
      <c r="J9" s="77">
        <v>1484411980</v>
      </c>
      <c r="K9" s="78">
        <v>99583134</v>
      </c>
      <c r="L9" s="78">
        <f>$J9+$K9</f>
        <v>1583995114</v>
      </c>
      <c r="M9" s="40">
        <f>IF($F9=0,0,$L9/$F9)</f>
        <v>0.2264480031741406</v>
      </c>
      <c r="N9" s="105">
        <v>1486966220</v>
      </c>
      <c r="O9" s="106">
        <v>298378641</v>
      </c>
      <c r="P9" s="107">
        <f>$N9+$O9</f>
        <v>1785344861</v>
      </c>
      <c r="Q9" s="40">
        <f>IF($F9=0,0,$P9/$F9)</f>
        <v>0.2552329708453025</v>
      </c>
      <c r="R9" s="105">
        <v>1375651275</v>
      </c>
      <c r="S9" s="107">
        <v>229470444</v>
      </c>
      <c r="T9" s="107">
        <f>$R9+$S9</f>
        <v>1605121719</v>
      </c>
      <c r="U9" s="40">
        <f>IF($I9=0,0,$T9/$I9)</f>
        <v>0.22016326276281867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4347029475</v>
      </c>
      <c r="AA9" s="78">
        <f>$K9+$O9+$S9</f>
        <v>627432219</v>
      </c>
      <c r="AB9" s="78">
        <f>$Z9+$AA9</f>
        <v>4974461694</v>
      </c>
      <c r="AC9" s="40">
        <f>IF($I9=0,0,$AB9/$I9)</f>
        <v>0.6823119418769126</v>
      </c>
      <c r="AD9" s="77">
        <v>1224154626</v>
      </c>
      <c r="AE9" s="78">
        <v>181562771</v>
      </c>
      <c r="AF9" s="78">
        <f>$AD9+$AE9</f>
        <v>1405717397</v>
      </c>
      <c r="AG9" s="40">
        <f>IF(6040502650=0,0,4418272537/6040502650)</f>
        <v>0.7314412049798538</v>
      </c>
      <c r="AH9" s="40">
        <f>IF($AF9=0,0,(($T9/$AF9)-1))</f>
        <v>0.14185235412577035</v>
      </c>
      <c r="AI9" s="12">
        <v>5703347870</v>
      </c>
      <c r="AJ9" s="12">
        <v>6040502650</v>
      </c>
      <c r="AK9" s="12">
        <v>4418272537</v>
      </c>
      <c r="AL9" s="12"/>
    </row>
    <row r="10" spans="1:38" s="13" customFormat="1" ht="12.75">
      <c r="A10" s="29"/>
      <c r="B10" s="38" t="s">
        <v>42</v>
      </c>
      <c r="C10" s="132" t="s">
        <v>43</v>
      </c>
      <c r="D10" s="77">
        <v>31723842516</v>
      </c>
      <c r="E10" s="78">
        <v>5780819331</v>
      </c>
      <c r="F10" s="80">
        <f aca="true" t="shared" si="0" ref="F10:F17">$D10+$E10</f>
        <v>37504661847</v>
      </c>
      <c r="G10" s="77">
        <v>32531966162</v>
      </c>
      <c r="H10" s="78">
        <v>6129094187</v>
      </c>
      <c r="I10" s="80">
        <f aca="true" t="shared" si="1" ref="I10:I17">$G10+$H10</f>
        <v>38661060349</v>
      </c>
      <c r="J10" s="77">
        <v>7760646744</v>
      </c>
      <c r="K10" s="78">
        <v>735280317</v>
      </c>
      <c r="L10" s="78">
        <f aca="true" t="shared" si="2" ref="L10:L17">$J10+$K10</f>
        <v>8495927061</v>
      </c>
      <c r="M10" s="40">
        <f aca="true" t="shared" si="3" ref="M10:M17">IF($F10=0,0,$L10/$F10)</f>
        <v>0.2265298936878587</v>
      </c>
      <c r="N10" s="105">
        <v>8438631293</v>
      </c>
      <c r="O10" s="106">
        <v>1156924800</v>
      </c>
      <c r="P10" s="107">
        <f aca="true" t="shared" si="4" ref="P10:P17">$N10+$O10</f>
        <v>9595556093</v>
      </c>
      <c r="Q10" s="40">
        <f aca="true" t="shared" si="5" ref="Q10:Q17">IF($F10=0,0,$P10/$F10)</f>
        <v>0.255849689623786</v>
      </c>
      <c r="R10" s="105">
        <v>8421827315</v>
      </c>
      <c r="S10" s="107">
        <v>855087702</v>
      </c>
      <c r="T10" s="107">
        <f aca="true" t="shared" si="6" ref="T10:T17">$R10+$S10</f>
        <v>9276915017</v>
      </c>
      <c r="U10" s="40">
        <f aca="true" t="shared" si="7" ref="U10:U17">IF($I10=0,0,$T10/$I10)</f>
        <v>0.2399550072671495</v>
      </c>
      <c r="V10" s="105">
        <v>0</v>
      </c>
      <c r="W10" s="107">
        <v>0</v>
      </c>
      <c r="X10" s="107">
        <f aca="true" t="shared" si="8" ref="X10:X17">$V10+$W10</f>
        <v>0</v>
      </c>
      <c r="Y10" s="40">
        <f aca="true" t="shared" si="9" ref="Y10:Y17">IF($I10=0,0,$X10/$I10)</f>
        <v>0</v>
      </c>
      <c r="Z10" s="77">
        <f aca="true" t="shared" si="10" ref="Z10:Z17">$J10+$N10+$R10</f>
        <v>24621105352</v>
      </c>
      <c r="AA10" s="78">
        <f aca="true" t="shared" si="11" ref="AA10:AA17">$K10+$O10+$S10</f>
        <v>2747292819</v>
      </c>
      <c r="AB10" s="78">
        <f aca="true" t="shared" si="12" ref="AB10:AB17">$Z10+$AA10</f>
        <v>27368398171</v>
      </c>
      <c r="AC10" s="40">
        <f aca="true" t="shared" si="13" ref="AC10:AC17">IF($I10=0,0,$AB10/$I10)</f>
        <v>0.7079060409606149</v>
      </c>
      <c r="AD10" s="77">
        <v>8151257652</v>
      </c>
      <c r="AE10" s="78">
        <v>734326787</v>
      </c>
      <c r="AF10" s="78">
        <f aca="true" t="shared" si="14" ref="AF10:AF17">$AD10+$AE10</f>
        <v>8885584439</v>
      </c>
      <c r="AG10" s="40">
        <f>IF(35248845055=0,0,25062648674/35248845055)</f>
        <v>0.7110204216590325</v>
      </c>
      <c r="AH10" s="40">
        <f aca="true" t="shared" si="15" ref="AH10:AH17">IF($AF10=0,0,(($T10/$AF10)-1))</f>
        <v>0.04404106231689142</v>
      </c>
      <c r="AI10" s="12">
        <v>34647525714</v>
      </c>
      <c r="AJ10" s="12">
        <v>35248845055</v>
      </c>
      <c r="AK10" s="12">
        <v>25062648674</v>
      </c>
      <c r="AL10" s="12"/>
    </row>
    <row r="11" spans="1:38" s="13" customFormat="1" ht="12.75">
      <c r="A11" s="29"/>
      <c r="B11" s="38" t="s">
        <v>44</v>
      </c>
      <c r="C11" s="132" t="s">
        <v>45</v>
      </c>
      <c r="D11" s="77">
        <v>29454838925</v>
      </c>
      <c r="E11" s="78">
        <v>4471563427</v>
      </c>
      <c r="F11" s="80">
        <f t="shared" si="0"/>
        <v>33926402352</v>
      </c>
      <c r="G11" s="77">
        <v>30267339208</v>
      </c>
      <c r="H11" s="78">
        <v>4647061405</v>
      </c>
      <c r="I11" s="80">
        <f t="shared" si="1"/>
        <v>34914400613</v>
      </c>
      <c r="J11" s="77">
        <v>8609185850</v>
      </c>
      <c r="K11" s="78">
        <v>299927332</v>
      </c>
      <c r="L11" s="78">
        <f t="shared" si="2"/>
        <v>8909113182</v>
      </c>
      <c r="M11" s="40">
        <f t="shared" si="3"/>
        <v>0.2626011767933536</v>
      </c>
      <c r="N11" s="105">
        <v>7839798971</v>
      </c>
      <c r="O11" s="106">
        <v>1000625685</v>
      </c>
      <c r="P11" s="107">
        <f t="shared" si="4"/>
        <v>8840424656</v>
      </c>
      <c r="Q11" s="40">
        <f t="shared" si="5"/>
        <v>0.2605765434329599</v>
      </c>
      <c r="R11" s="105">
        <v>7399726685</v>
      </c>
      <c r="S11" s="107">
        <v>508666008</v>
      </c>
      <c r="T11" s="107">
        <f t="shared" si="6"/>
        <v>7908392693</v>
      </c>
      <c r="U11" s="40">
        <f t="shared" si="7"/>
        <v>0.2265080469419657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23848711506</v>
      </c>
      <c r="AA11" s="78">
        <f t="shared" si="11"/>
        <v>1809219025</v>
      </c>
      <c r="AB11" s="78">
        <f t="shared" si="12"/>
        <v>25657930531</v>
      </c>
      <c r="AC11" s="40">
        <f t="shared" si="13"/>
        <v>0.7348810256088586</v>
      </c>
      <c r="AD11" s="77">
        <v>6368180049</v>
      </c>
      <c r="AE11" s="78">
        <v>587326940</v>
      </c>
      <c r="AF11" s="78">
        <f t="shared" si="14"/>
        <v>6955506989</v>
      </c>
      <c r="AG11" s="40">
        <f>IF(30418018055=0,0,21991842750/30418018055)</f>
        <v>0.7229873659169935</v>
      </c>
      <c r="AH11" s="40">
        <f t="shared" si="15"/>
        <v>0.1369973037920844</v>
      </c>
      <c r="AI11" s="12">
        <v>30101066616</v>
      </c>
      <c r="AJ11" s="12">
        <v>30418018055</v>
      </c>
      <c r="AK11" s="12">
        <v>21991842750</v>
      </c>
      <c r="AL11" s="12"/>
    </row>
    <row r="12" spans="1:38" s="13" customFormat="1" ht="12.75">
      <c r="A12" s="29"/>
      <c r="B12" s="38" t="s">
        <v>46</v>
      </c>
      <c r="C12" s="132" t="s">
        <v>47</v>
      </c>
      <c r="D12" s="77">
        <v>29534285759</v>
      </c>
      <c r="E12" s="78">
        <v>6046925999</v>
      </c>
      <c r="F12" s="80">
        <f t="shared" si="0"/>
        <v>35581211758</v>
      </c>
      <c r="G12" s="77">
        <v>29540626561</v>
      </c>
      <c r="H12" s="78">
        <v>6038935000</v>
      </c>
      <c r="I12" s="80">
        <f t="shared" si="1"/>
        <v>35579561561</v>
      </c>
      <c r="J12" s="77">
        <v>7833937263</v>
      </c>
      <c r="K12" s="78">
        <v>823616000</v>
      </c>
      <c r="L12" s="78">
        <f t="shared" si="2"/>
        <v>8657553263</v>
      </c>
      <c r="M12" s="40">
        <f t="shared" si="3"/>
        <v>0.24331811186990998</v>
      </c>
      <c r="N12" s="105">
        <v>7333185579</v>
      </c>
      <c r="O12" s="106">
        <v>1173076000</v>
      </c>
      <c r="P12" s="107">
        <f t="shared" si="4"/>
        <v>8506261579</v>
      </c>
      <c r="Q12" s="40">
        <f t="shared" si="5"/>
        <v>0.2390661014260559</v>
      </c>
      <c r="R12" s="105">
        <v>5730463277</v>
      </c>
      <c r="S12" s="107">
        <v>1101745000</v>
      </c>
      <c r="T12" s="107">
        <f t="shared" si="6"/>
        <v>6832208277</v>
      </c>
      <c r="U12" s="40">
        <f t="shared" si="7"/>
        <v>0.19202620766662348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20897586119</v>
      </c>
      <c r="AA12" s="78">
        <f t="shared" si="11"/>
        <v>3098437000</v>
      </c>
      <c r="AB12" s="78">
        <f t="shared" si="12"/>
        <v>23996023119</v>
      </c>
      <c r="AC12" s="40">
        <f t="shared" si="13"/>
        <v>0.6744327941720024</v>
      </c>
      <c r="AD12" s="77">
        <v>7289462222</v>
      </c>
      <c r="AE12" s="78">
        <v>1202070000</v>
      </c>
      <c r="AF12" s="78">
        <f t="shared" si="14"/>
        <v>8491532222</v>
      </c>
      <c r="AG12" s="40">
        <f>IF(32204316995=0,0,25417000415/32204316995)</f>
        <v>0.7892420267427566</v>
      </c>
      <c r="AH12" s="40">
        <f t="shared" si="15"/>
        <v>-0.19540925025297518</v>
      </c>
      <c r="AI12" s="12">
        <v>32436397219</v>
      </c>
      <c r="AJ12" s="12">
        <v>32204316995</v>
      </c>
      <c r="AK12" s="12">
        <v>25417000415</v>
      </c>
      <c r="AL12" s="12"/>
    </row>
    <row r="13" spans="1:38" s="13" customFormat="1" ht="12.75">
      <c r="A13" s="29"/>
      <c r="B13" s="38" t="s">
        <v>48</v>
      </c>
      <c r="C13" s="132" t="s">
        <v>49</v>
      </c>
      <c r="D13" s="77">
        <v>43788545550</v>
      </c>
      <c r="E13" s="78">
        <v>9896853000</v>
      </c>
      <c r="F13" s="80">
        <f t="shared" si="0"/>
        <v>53685398550</v>
      </c>
      <c r="G13" s="77">
        <v>43445895000</v>
      </c>
      <c r="H13" s="78">
        <v>9323557000</v>
      </c>
      <c r="I13" s="80">
        <f t="shared" si="1"/>
        <v>52769452000</v>
      </c>
      <c r="J13" s="77">
        <v>10892350481</v>
      </c>
      <c r="K13" s="78">
        <v>959228001</v>
      </c>
      <c r="L13" s="78">
        <f t="shared" si="2"/>
        <v>11851578482</v>
      </c>
      <c r="M13" s="40">
        <f t="shared" si="3"/>
        <v>0.22075981183155433</v>
      </c>
      <c r="N13" s="105">
        <v>9871499531</v>
      </c>
      <c r="O13" s="106">
        <v>1703181000</v>
      </c>
      <c r="P13" s="107">
        <f t="shared" si="4"/>
        <v>11574680531</v>
      </c>
      <c r="Q13" s="40">
        <f t="shared" si="5"/>
        <v>0.21560202296383996</v>
      </c>
      <c r="R13" s="105">
        <v>9791501497</v>
      </c>
      <c r="S13" s="107">
        <v>1416994685</v>
      </c>
      <c r="T13" s="107">
        <f t="shared" si="6"/>
        <v>11208496182</v>
      </c>
      <c r="U13" s="40">
        <f t="shared" si="7"/>
        <v>0.21240501383262422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30555351509</v>
      </c>
      <c r="AA13" s="78">
        <f t="shared" si="11"/>
        <v>4079403686</v>
      </c>
      <c r="AB13" s="78">
        <f t="shared" si="12"/>
        <v>34634755195</v>
      </c>
      <c r="AC13" s="40">
        <f t="shared" si="13"/>
        <v>0.6563410056826059</v>
      </c>
      <c r="AD13" s="77">
        <v>10447775798</v>
      </c>
      <c r="AE13" s="78">
        <v>1848847944</v>
      </c>
      <c r="AF13" s="78">
        <f t="shared" si="14"/>
        <v>12296623742</v>
      </c>
      <c r="AG13" s="40">
        <f>IF(51356487280=0,0,33458099621/51356487280)</f>
        <v>0.6514873075057402</v>
      </c>
      <c r="AH13" s="40">
        <f t="shared" si="15"/>
        <v>-0.08848994511261021</v>
      </c>
      <c r="AI13" s="12">
        <v>49719368000</v>
      </c>
      <c r="AJ13" s="12">
        <v>51356487280</v>
      </c>
      <c r="AK13" s="12">
        <v>33458099621</v>
      </c>
      <c r="AL13" s="12"/>
    </row>
    <row r="14" spans="1:38" s="13" customFormat="1" ht="12.75">
      <c r="A14" s="29"/>
      <c r="B14" s="38" t="s">
        <v>50</v>
      </c>
      <c r="C14" s="132" t="s">
        <v>51</v>
      </c>
      <c r="D14" s="77">
        <v>6740247066</v>
      </c>
      <c r="E14" s="78">
        <v>1793890539</v>
      </c>
      <c r="F14" s="80">
        <f t="shared" si="0"/>
        <v>8534137605</v>
      </c>
      <c r="G14" s="77">
        <v>6071537240</v>
      </c>
      <c r="H14" s="78">
        <v>1851179482</v>
      </c>
      <c r="I14" s="80">
        <f t="shared" si="1"/>
        <v>7922716722</v>
      </c>
      <c r="J14" s="77">
        <v>1708295098</v>
      </c>
      <c r="K14" s="78">
        <v>242491694</v>
      </c>
      <c r="L14" s="78">
        <f t="shared" si="2"/>
        <v>1950786792</v>
      </c>
      <c r="M14" s="40">
        <f t="shared" si="3"/>
        <v>0.22858628279640916</v>
      </c>
      <c r="N14" s="105">
        <v>1098256003</v>
      </c>
      <c r="O14" s="106">
        <v>461320626</v>
      </c>
      <c r="P14" s="107">
        <f t="shared" si="4"/>
        <v>1559576629</v>
      </c>
      <c r="Q14" s="40">
        <f t="shared" si="5"/>
        <v>0.18274566232518583</v>
      </c>
      <c r="R14" s="105">
        <v>1351141375</v>
      </c>
      <c r="S14" s="107">
        <v>354949246</v>
      </c>
      <c r="T14" s="107">
        <f t="shared" si="6"/>
        <v>1706090621</v>
      </c>
      <c r="U14" s="40">
        <f t="shared" si="7"/>
        <v>0.2153416158705365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4157692476</v>
      </c>
      <c r="AA14" s="78">
        <f t="shared" si="11"/>
        <v>1058761566</v>
      </c>
      <c r="AB14" s="78">
        <f t="shared" si="12"/>
        <v>5216454042</v>
      </c>
      <c r="AC14" s="40">
        <f t="shared" si="13"/>
        <v>0.6584173365071628</v>
      </c>
      <c r="AD14" s="77">
        <v>1368981060</v>
      </c>
      <c r="AE14" s="78">
        <v>265256420</v>
      </c>
      <c r="AF14" s="78">
        <f t="shared" si="14"/>
        <v>1634237480</v>
      </c>
      <c r="AG14" s="40">
        <f>IF(7287910235=0,0,5051705031/7287910235)</f>
        <v>0.6931623563006193</v>
      </c>
      <c r="AH14" s="40">
        <f t="shared" si="15"/>
        <v>0.04396738043237147</v>
      </c>
      <c r="AI14" s="12">
        <v>7782056736</v>
      </c>
      <c r="AJ14" s="12">
        <v>7287910235</v>
      </c>
      <c r="AK14" s="12">
        <v>5051705031</v>
      </c>
      <c r="AL14" s="12"/>
    </row>
    <row r="15" spans="1:38" s="13" customFormat="1" ht="12.75">
      <c r="A15" s="29"/>
      <c r="B15" s="38" t="s">
        <v>52</v>
      </c>
      <c r="C15" s="132" t="s">
        <v>53</v>
      </c>
      <c r="D15" s="77">
        <v>8885456270</v>
      </c>
      <c r="E15" s="78">
        <v>1612510043</v>
      </c>
      <c r="F15" s="80">
        <f t="shared" si="0"/>
        <v>10497966313</v>
      </c>
      <c r="G15" s="77">
        <v>9388921300</v>
      </c>
      <c r="H15" s="78">
        <v>1573441238</v>
      </c>
      <c r="I15" s="80">
        <f t="shared" si="1"/>
        <v>10962362538</v>
      </c>
      <c r="J15" s="77">
        <v>2118186617</v>
      </c>
      <c r="K15" s="78">
        <v>178262691</v>
      </c>
      <c r="L15" s="78">
        <f t="shared" si="2"/>
        <v>2296449308</v>
      </c>
      <c r="M15" s="40">
        <f t="shared" si="3"/>
        <v>0.21875182673773932</v>
      </c>
      <c r="N15" s="105">
        <v>2166338193</v>
      </c>
      <c r="O15" s="106">
        <v>341700783</v>
      </c>
      <c r="P15" s="107">
        <f t="shared" si="4"/>
        <v>2508038976</v>
      </c>
      <c r="Q15" s="40">
        <f t="shared" si="5"/>
        <v>0.23890712745898293</v>
      </c>
      <c r="R15" s="105">
        <v>2387162554</v>
      </c>
      <c r="S15" s="107">
        <v>257016415</v>
      </c>
      <c r="T15" s="107">
        <f t="shared" si="6"/>
        <v>2644178969</v>
      </c>
      <c r="U15" s="40">
        <f t="shared" si="7"/>
        <v>0.24120521099664438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6671687364</v>
      </c>
      <c r="AA15" s="78">
        <f t="shared" si="11"/>
        <v>776979889</v>
      </c>
      <c r="AB15" s="78">
        <f t="shared" si="12"/>
        <v>7448667253</v>
      </c>
      <c r="AC15" s="40">
        <f t="shared" si="13"/>
        <v>0.6794764565740181</v>
      </c>
      <c r="AD15" s="77">
        <v>2043601614</v>
      </c>
      <c r="AE15" s="78">
        <v>290938560</v>
      </c>
      <c r="AF15" s="78">
        <f t="shared" si="14"/>
        <v>2334540174</v>
      </c>
      <c r="AG15" s="40">
        <f>IF(9851386241=0,0,6875242752/9851386241)</f>
        <v>0.6978959695424656</v>
      </c>
      <c r="AH15" s="40">
        <f t="shared" si="15"/>
        <v>0.13263374023222108</v>
      </c>
      <c r="AI15" s="12">
        <v>9511818178</v>
      </c>
      <c r="AJ15" s="12">
        <v>9851386241</v>
      </c>
      <c r="AK15" s="12">
        <v>6875242752</v>
      </c>
      <c r="AL15" s="12"/>
    </row>
    <row r="16" spans="1:38" s="13" customFormat="1" ht="12.75">
      <c r="A16" s="29"/>
      <c r="B16" s="38" t="s">
        <v>54</v>
      </c>
      <c r="C16" s="132" t="s">
        <v>55</v>
      </c>
      <c r="D16" s="77">
        <v>26295831494</v>
      </c>
      <c r="E16" s="78">
        <v>3856566482</v>
      </c>
      <c r="F16" s="80">
        <f t="shared" si="0"/>
        <v>30152397976</v>
      </c>
      <c r="G16" s="77">
        <v>26756931049</v>
      </c>
      <c r="H16" s="78">
        <v>3995193296</v>
      </c>
      <c r="I16" s="80">
        <f t="shared" si="1"/>
        <v>30752124345</v>
      </c>
      <c r="J16" s="77">
        <v>6923483276</v>
      </c>
      <c r="K16" s="78">
        <v>386187116</v>
      </c>
      <c r="L16" s="78">
        <f t="shared" si="2"/>
        <v>7309670392</v>
      </c>
      <c r="M16" s="40">
        <f t="shared" si="3"/>
        <v>0.2424241812481442</v>
      </c>
      <c r="N16" s="105">
        <v>6715523394</v>
      </c>
      <c r="O16" s="106">
        <v>1068767092</v>
      </c>
      <c r="P16" s="107">
        <f t="shared" si="4"/>
        <v>7784290486</v>
      </c>
      <c r="Q16" s="40">
        <f t="shared" si="5"/>
        <v>0.2581648893131471</v>
      </c>
      <c r="R16" s="105">
        <v>6291635335</v>
      </c>
      <c r="S16" s="107">
        <v>643512726</v>
      </c>
      <c r="T16" s="107">
        <f t="shared" si="6"/>
        <v>6935148061</v>
      </c>
      <c r="U16" s="40">
        <f t="shared" si="7"/>
        <v>0.2255176905242837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19930642005</v>
      </c>
      <c r="AA16" s="78">
        <f t="shared" si="11"/>
        <v>2098466934</v>
      </c>
      <c r="AB16" s="78">
        <f t="shared" si="12"/>
        <v>22029108939</v>
      </c>
      <c r="AC16" s="40">
        <f t="shared" si="13"/>
        <v>0.716344298425085</v>
      </c>
      <c r="AD16" s="77">
        <v>6266314376</v>
      </c>
      <c r="AE16" s="78">
        <v>581288725</v>
      </c>
      <c r="AF16" s="78">
        <f t="shared" si="14"/>
        <v>6847603101</v>
      </c>
      <c r="AG16" s="40">
        <f>IF(29499742903=0,0,21060025890/29499742903)</f>
        <v>0.7139054045063655</v>
      </c>
      <c r="AH16" s="40">
        <f t="shared" si="15"/>
        <v>0.012784759675573909</v>
      </c>
      <c r="AI16" s="12">
        <v>29107470795</v>
      </c>
      <c r="AJ16" s="12">
        <v>29499742903</v>
      </c>
      <c r="AK16" s="12">
        <v>21060025890</v>
      </c>
      <c r="AL16" s="12"/>
    </row>
    <row r="17" spans="1:38" s="13" customFormat="1" ht="12.75">
      <c r="A17" s="29"/>
      <c r="B17" s="51" t="s">
        <v>95</v>
      </c>
      <c r="C17" s="132"/>
      <c r="D17" s="81">
        <f>SUM(D9:D16)</f>
        <v>182142655071</v>
      </c>
      <c r="E17" s="82">
        <f>SUM(E9:E16)</f>
        <v>34734483051</v>
      </c>
      <c r="F17" s="83">
        <f t="shared" si="0"/>
        <v>216877138122</v>
      </c>
      <c r="G17" s="81">
        <f>SUM(G9:G16)</f>
        <v>183913664489</v>
      </c>
      <c r="H17" s="82">
        <f>SUM(H9:H16)</f>
        <v>34938611075</v>
      </c>
      <c r="I17" s="83">
        <f t="shared" si="1"/>
        <v>218852275564</v>
      </c>
      <c r="J17" s="81">
        <f>SUM(J9:J16)</f>
        <v>47330497309</v>
      </c>
      <c r="K17" s="82">
        <f>SUM(K9:K16)</f>
        <v>3724576285</v>
      </c>
      <c r="L17" s="82">
        <f t="shared" si="2"/>
        <v>51055073594</v>
      </c>
      <c r="M17" s="44">
        <f t="shared" si="3"/>
        <v>0.23541012222911187</v>
      </c>
      <c r="N17" s="111">
        <f>SUM(N9:N16)</f>
        <v>44950199184</v>
      </c>
      <c r="O17" s="112">
        <f>SUM(O9:O16)</f>
        <v>7203974627</v>
      </c>
      <c r="P17" s="113">
        <f t="shared" si="4"/>
        <v>52154173811</v>
      </c>
      <c r="Q17" s="44">
        <f t="shared" si="5"/>
        <v>0.24047796952052036</v>
      </c>
      <c r="R17" s="111">
        <f>SUM(R9:R16)</f>
        <v>42749109313</v>
      </c>
      <c r="S17" s="113">
        <f>SUM(S9:S16)</f>
        <v>5367442226</v>
      </c>
      <c r="T17" s="113">
        <f t="shared" si="6"/>
        <v>48116551539</v>
      </c>
      <c r="U17" s="44">
        <f t="shared" si="7"/>
        <v>0.21985858458633686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4">
        <f t="shared" si="9"/>
        <v>0</v>
      </c>
      <c r="Z17" s="81">
        <f t="shared" si="10"/>
        <v>135029805806</v>
      </c>
      <c r="AA17" s="82">
        <f t="shared" si="11"/>
        <v>16295993138</v>
      </c>
      <c r="AB17" s="82">
        <f t="shared" si="12"/>
        <v>151325798944</v>
      </c>
      <c r="AC17" s="44">
        <f t="shared" si="13"/>
        <v>0.6914517957559325</v>
      </c>
      <c r="AD17" s="81">
        <f>SUM(AD9:AD16)</f>
        <v>43159727397</v>
      </c>
      <c r="AE17" s="82">
        <f>SUM(AE9:AE16)</f>
        <v>5691618147</v>
      </c>
      <c r="AF17" s="82">
        <f t="shared" si="14"/>
        <v>48851345544</v>
      </c>
      <c r="AG17" s="44">
        <f>IF(29499742903=0,0,21060025890/29499742903)</f>
        <v>0.7139054045063655</v>
      </c>
      <c r="AH17" s="44">
        <f t="shared" si="15"/>
        <v>-0.015041428169837778</v>
      </c>
      <c r="AI17" s="12">
        <f>SUM(AI9:AI16)</f>
        <v>199009051128</v>
      </c>
      <c r="AJ17" s="12">
        <f>SUM(AJ9:AJ16)</f>
        <v>201907209414</v>
      </c>
      <c r="AK17" s="12">
        <f>SUM(AK9:AK16)</f>
        <v>143334837670</v>
      </c>
      <c r="AL17" s="12"/>
    </row>
    <row r="18" spans="1:38" s="13" customFormat="1" ht="12.75">
      <c r="A18" s="45"/>
      <c r="B18" s="52"/>
      <c r="C18" s="136"/>
      <c r="D18" s="101"/>
      <c r="E18" s="102"/>
      <c r="F18" s="103"/>
      <c r="G18" s="101"/>
      <c r="H18" s="102"/>
      <c r="I18" s="103"/>
      <c r="J18" s="101"/>
      <c r="K18" s="102"/>
      <c r="L18" s="102"/>
      <c r="M18" s="49"/>
      <c r="N18" s="114"/>
      <c r="O18" s="115"/>
      <c r="P18" s="116"/>
      <c r="Q18" s="49"/>
      <c r="R18" s="114"/>
      <c r="S18" s="116"/>
      <c r="T18" s="116"/>
      <c r="U18" s="49"/>
      <c r="V18" s="114"/>
      <c r="W18" s="116"/>
      <c r="X18" s="116"/>
      <c r="Y18" s="49"/>
      <c r="Z18" s="101"/>
      <c r="AA18" s="102"/>
      <c r="AB18" s="102"/>
      <c r="AC18" s="49"/>
      <c r="AD18" s="101"/>
      <c r="AE18" s="102"/>
      <c r="AF18" s="102"/>
      <c r="AG18" s="49"/>
      <c r="AH18" s="49"/>
      <c r="AI18" s="12"/>
      <c r="AJ18" s="12"/>
      <c r="AK18" s="12"/>
      <c r="AL18" s="12"/>
    </row>
    <row r="19" spans="1:38" ht="12.75">
      <c r="A19" s="53"/>
      <c r="B19" s="54"/>
      <c r="C19" s="137"/>
      <c r="D19" s="104"/>
      <c r="E19" s="104"/>
      <c r="F19" s="104"/>
      <c r="G19" s="104"/>
      <c r="H19" s="104"/>
      <c r="I19" s="104"/>
      <c r="J19" s="104"/>
      <c r="K19" s="104"/>
      <c r="L19" s="104"/>
      <c r="M19" s="50"/>
      <c r="N19" s="117"/>
      <c r="O19" s="117"/>
      <c r="P19" s="117"/>
      <c r="Q19" s="55"/>
      <c r="R19" s="117"/>
      <c r="S19" s="117"/>
      <c r="T19" s="117"/>
      <c r="U19" s="55"/>
      <c r="V19" s="117"/>
      <c r="W19" s="117"/>
      <c r="X19" s="117"/>
      <c r="Y19" s="55"/>
      <c r="Z19" s="104"/>
      <c r="AA19" s="104"/>
      <c r="AB19" s="104"/>
      <c r="AC19" s="50"/>
      <c r="AD19" s="104"/>
      <c r="AE19" s="104"/>
      <c r="AF19" s="104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130"/>
      <c r="D20" s="89"/>
      <c r="E20" s="89"/>
      <c r="F20" s="89"/>
      <c r="G20" s="89"/>
      <c r="H20" s="89"/>
      <c r="I20" s="89"/>
      <c r="J20" s="89"/>
      <c r="K20" s="89"/>
      <c r="L20" s="89"/>
      <c r="M20" s="2"/>
      <c r="N20" s="89"/>
      <c r="O20" s="89"/>
      <c r="P20" s="89"/>
      <c r="Q20" s="2"/>
      <c r="R20" s="89"/>
      <c r="S20" s="89"/>
      <c r="T20" s="89"/>
      <c r="U20" s="2"/>
      <c r="V20" s="89"/>
      <c r="W20" s="89"/>
      <c r="X20" s="89"/>
      <c r="Y20" s="2"/>
      <c r="Z20" s="89"/>
      <c r="AA20" s="89"/>
      <c r="AB20" s="89"/>
      <c r="AC20" s="2"/>
      <c r="AD20" s="89"/>
      <c r="AE20" s="89"/>
      <c r="AF20" s="89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30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30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30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30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30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30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30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30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30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30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30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0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0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0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0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0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0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0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0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0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0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0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0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0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0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0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0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0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0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0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0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0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0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0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0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0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0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0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0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0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0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0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0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0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0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0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0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0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0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0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0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0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0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0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0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0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0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0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0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0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0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1.57421875" style="3" customWidth="1"/>
    <col min="2" max="2" width="18.421875" style="3" customWidth="1"/>
    <col min="3" max="3" width="6.7109375" style="135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7" customFormat="1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31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138" t="s">
        <v>654</v>
      </c>
      <c r="C7" s="131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1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132" t="s">
        <v>57</v>
      </c>
      <c r="D9" s="77">
        <v>2380228180</v>
      </c>
      <c r="E9" s="78">
        <v>138927364</v>
      </c>
      <c r="F9" s="79">
        <f>$D9+$E9</f>
        <v>2519155544</v>
      </c>
      <c r="G9" s="77">
        <v>2363447992</v>
      </c>
      <c r="H9" s="78">
        <v>143005289</v>
      </c>
      <c r="I9" s="80">
        <f>$G9+$H9</f>
        <v>2506453281</v>
      </c>
      <c r="J9" s="77">
        <v>826016430</v>
      </c>
      <c r="K9" s="78">
        <v>5292158</v>
      </c>
      <c r="L9" s="78">
        <f>$J9+$K9</f>
        <v>831308588</v>
      </c>
      <c r="M9" s="40">
        <f>IF($F9=0,0,$L9/$F9)</f>
        <v>0.32999494214637504</v>
      </c>
      <c r="N9" s="105">
        <v>565998200</v>
      </c>
      <c r="O9" s="106">
        <v>21557868</v>
      </c>
      <c r="P9" s="107">
        <f>$N9+$O9</f>
        <v>587556068</v>
      </c>
      <c r="Q9" s="40">
        <f>IF($F9=0,0,$P9/$F9)</f>
        <v>0.23323532736968622</v>
      </c>
      <c r="R9" s="105">
        <v>581037688</v>
      </c>
      <c r="S9" s="107">
        <v>21661955</v>
      </c>
      <c r="T9" s="107">
        <f>$R9+$S9</f>
        <v>602699643</v>
      </c>
      <c r="U9" s="40">
        <f>IF($I9=0,0,$T9/$I9)</f>
        <v>0.24045915699635176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1973052318</v>
      </c>
      <c r="AA9" s="78">
        <f>$K9+$O9+$S9</f>
        <v>48511981</v>
      </c>
      <c r="AB9" s="78">
        <f>$Z9+$AA9</f>
        <v>2021564299</v>
      </c>
      <c r="AC9" s="40">
        <f>IF($I9=0,0,$AB9/$I9)</f>
        <v>0.8065437781443332</v>
      </c>
      <c r="AD9" s="77">
        <v>388629412</v>
      </c>
      <c r="AE9" s="78">
        <v>23545976</v>
      </c>
      <c r="AF9" s="78">
        <f>$AD9+$AE9</f>
        <v>412175388</v>
      </c>
      <c r="AG9" s="40">
        <f>IF(2275625921=0,0,1393700645/2275625921)</f>
        <v>0.6124471654759288</v>
      </c>
      <c r="AH9" s="40">
        <f>IF($AF9=0,0,(($T9/$AF9)-1))</f>
        <v>0.4622407367030852</v>
      </c>
      <c r="AI9" s="12">
        <v>2129961390</v>
      </c>
      <c r="AJ9" s="12">
        <v>2275625921</v>
      </c>
      <c r="AK9" s="12">
        <v>1393700645</v>
      </c>
      <c r="AL9" s="12"/>
    </row>
    <row r="10" spans="1:38" s="13" customFormat="1" ht="12.75">
      <c r="A10" s="29"/>
      <c r="B10" s="38" t="s">
        <v>58</v>
      </c>
      <c r="C10" s="132" t="s">
        <v>59</v>
      </c>
      <c r="D10" s="77">
        <v>1828026195</v>
      </c>
      <c r="E10" s="78">
        <v>375837493</v>
      </c>
      <c r="F10" s="80">
        <f aca="true" t="shared" si="0" ref="F10:F28">$D10+$E10</f>
        <v>2203863688</v>
      </c>
      <c r="G10" s="77">
        <v>1839900065</v>
      </c>
      <c r="H10" s="78">
        <v>665830951</v>
      </c>
      <c r="I10" s="80">
        <f aca="true" t="shared" si="1" ref="I10:I28">$G10+$H10</f>
        <v>2505731016</v>
      </c>
      <c r="J10" s="77">
        <v>684531982</v>
      </c>
      <c r="K10" s="78">
        <v>31011921</v>
      </c>
      <c r="L10" s="78">
        <f aca="true" t="shared" si="2" ref="L10:L28">$J10+$K10</f>
        <v>715543903</v>
      </c>
      <c r="M10" s="40">
        <f aca="true" t="shared" si="3" ref="M10:M28">IF($F10=0,0,$L10/$F10)</f>
        <v>0.3246770237633681</v>
      </c>
      <c r="N10" s="105">
        <v>341820123</v>
      </c>
      <c r="O10" s="106">
        <v>100160955</v>
      </c>
      <c r="P10" s="107">
        <f aca="true" t="shared" si="4" ref="P10:P28">$N10+$O10</f>
        <v>441981078</v>
      </c>
      <c r="Q10" s="40">
        <f aca="true" t="shared" si="5" ref="Q10:Q28">IF($F10=0,0,$P10/$F10)</f>
        <v>0.2005482827302702</v>
      </c>
      <c r="R10" s="105">
        <v>368361813</v>
      </c>
      <c r="S10" s="107">
        <v>57870177</v>
      </c>
      <c r="T10" s="107">
        <f aca="true" t="shared" si="6" ref="T10:T28">$R10+$S10</f>
        <v>426231990</v>
      </c>
      <c r="U10" s="40">
        <f aca="true" t="shared" si="7" ref="U10:U28">IF($I10=0,0,$T10/$I10)</f>
        <v>0.17010285113539897</v>
      </c>
      <c r="V10" s="105">
        <v>0</v>
      </c>
      <c r="W10" s="107">
        <v>0</v>
      </c>
      <c r="X10" s="107">
        <f aca="true" t="shared" si="8" ref="X10:X28">$V10+$W10</f>
        <v>0</v>
      </c>
      <c r="Y10" s="40">
        <f aca="true" t="shared" si="9" ref="Y10:Y28">IF($I10=0,0,$X10/$I10)</f>
        <v>0</v>
      </c>
      <c r="Z10" s="77">
        <f aca="true" t="shared" si="10" ref="Z10:Z28">$J10+$N10+$R10</f>
        <v>1394713918</v>
      </c>
      <c r="AA10" s="78">
        <f aca="true" t="shared" si="11" ref="AA10:AA28">$K10+$O10+$S10</f>
        <v>189043053</v>
      </c>
      <c r="AB10" s="78">
        <f aca="true" t="shared" si="12" ref="AB10:AB28">$Z10+$AA10</f>
        <v>1583756971</v>
      </c>
      <c r="AC10" s="40">
        <f aca="true" t="shared" si="13" ref="AC10:AC28">IF($I10=0,0,$AB10/$I10)</f>
        <v>0.6320538640768455</v>
      </c>
      <c r="AD10" s="77">
        <v>287478034</v>
      </c>
      <c r="AE10" s="78">
        <v>36689541</v>
      </c>
      <c r="AF10" s="78">
        <f aca="true" t="shared" si="14" ref="AF10:AF28">$AD10+$AE10</f>
        <v>324167575</v>
      </c>
      <c r="AG10" s="40">
        <f>IF(1817990948=0,0,1275515416/1817990948)</f>
        <v>0.7016071325345234</v>
      </c>
      <c r="AH10" s="40">
        <f aca="true" t="shared" si="15" ref="AH10:AH28">IF($AF10=0,0,(($T10/$AF10)-1))</f>
        <v>0.3148507835800667</v>
      </c>
      <c r="AI10" s="12">
        <v>1796619507</v>
      </c>
      <c r="AJ10" s="12">
        <v>1817990948</v>
      </c>
      <c r="AK10" s="12">
        <v>1275515416</v>
      </c>
      <c r="AL10" s="12"/>
    </row>
    <row r="11" spans="1:38" s="13" customFormat="1" ht="12.75">
      <c r="A11" s="29"/>
      <c r="B11" s="38" t="s">
        <v>60</v>
      </c>
      <c r="C11" s="132" t="s">
        <v>61</v>
      </c>
      <c r="D11" s="77">
        <v>2626610106</v>
      </c>
      <c r="E11" s="78">
        <v>203042372</v>
      </c>
      <c r="F11" s="80">
        <f t="shared" si="0"/>
        <v>2829652478</v>
      </c>
      <c r="G11" s="77">
        <v>2266057245</v>
      </c>
      <c r="H11" s="78">
        <v>289920423</v>
      </c>
      <c r="I11" s="80">
        <f t="shared" si="1"/>
        <v>2555977668</v>
      </c>
      <c r="J11" s="77">
        <v>613041070</v>
      </c>
      <c r="K11" s="78">
        <v>30807260</v>
      </c>
      <c r="L11" s="78">
        <f t="shared" si="2"/>
        <v>643848330</v>
      </c>
      <c r="M11" s="40">
        <f t="shared" si="3"/>
        <v>0.2275361850989816</v>
      </c>
      <c r="N11" s="105">
        <v>534123365</v>
      </c>
      <c r="O11" s="106">
        <v>20024235</v>
      </c>
      <c r="P11" s="107">
        <f t="shared" si="4"/>
        <v>554147600</v>
      </c>
      <c r="Q11" s="40">
        <f t="shared" si="5"/>
        <v>0.19583592130425564</v>
      </c>
      <c r="R11" s="105">
        <v>497420029</v>
      </c>
      <c r="S11" s="107">
        <v>35803329</v>
      </c>
      <c r="T11" s="107">
        <f t="shared" si="6"/>
        <v>533223358</v>
      </c>
      <c r="U11" s="40">
        <f t="shared" si="7"/>
        <v>0.20861815996116911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1644584464</v>
      </c>
      <c r="AA11" s="78">
        <f t="shared" si="11"/>
        <v>86634824</v>
      </c>
      <c r="AB11" s="78">
        <f t="shared" si="12"/>
        <v>1731219288</v>
      </c>
      <c r="AC11" s="40">
        <f t="shared" si="13"/>
        <v>0.6773217581962065</v>
      </c>
      <c r="AD11" s="77">
        <v>390083291</v>
      </c>
      <c r="AE11" s="78">
        <v>28739139</v>
      </c>
      <c r="AF11" s="78">
        <f t="shared" si="14"/>
        <v>418822430</v>
      </c>
      <c r="AG11" s="40">
        <f>IF(2135628425=0,0,1444361745/2135628425)</f>
        <v>0.676316969793095</v>
      </c>
      <c r="AH11" s="40">
        <f t="shared" si="15"/>
        <v>0.2731490001621928</v>
      </c>
      <c r="AI11" s="12">
        <v>2081460807</v>
      </c>
      <c r="AJ11" s="12">
        <v>2135628425</v>
      </c>
      <c r="AK11" s="12">
        <v>1444361745</v>
      </c>
      <c r="AL11" s="12"/>
    </row>
    <row r="12" spans="1:38" s="13" customFormat="1" ht="12.75">
      <c r="A12" s="29"/>
      <c r="B12" s="38" t="s">
        <v>62</v>
      </c>
      <c r="C12" s="132" t="s">
        <v>63</v>
      </c>
      <c r="D12" s="77">
        <v>5354652951</v>
      </c>
      <c r="E12" s="78">
        <v>533880960</v>
      </c>
      <c r="F12" s="80">
        <f t="shared" si="0"/>
        <v>5888533911</v>
      </c>
      <c r="G12" s="77">
        <v>5263793854</v>
      </c>
      <c r="H12" s="78">
        <v>335840772</v>
      </c>
      <c r="I12" s="80">
        <f t="shared" si="1"/>
        <v>5599634626</v>
      </c>
      <c r="J12" s="77">
        <v>1481308084</v>
      </c>
      <c r="K12" s="78">
        <v>54899541</v>
      </c>
      <c r="L12" s="78">
        <f t="shared" si="2"/>
        <v>1536207625</v>
      </c>
      <c r="M12" s="40">
        <f t="shared" si="3"/>
        <v>0.26088117147976464</v>
      </c>
      <c r="N12" s="105">
        <v>1068659261</v>
      </c>
      <c r="O12" s="106">
        <v>50035077</v>
      </c>
      <c r="P12" s="107">
        <f t="shared" si="4"/>
        <v>1118694338</v>
      </c>
      <c r="Q12" s="40">
        <f t="shared" si="5"/>
        <v>0.18997841481565342</v>
      </c>
      <c r="R12" s="105">
        <v>1302291375</v>
      </c>
      <c r="S12" s="107">
        <v>20914702</v>
      </c>
      <c r="T12" s="107">
        <f t="shared" si="6"/>
        <v>1323206077</v>
      </c>
      <c r="U12" s="40">
        <f t="shared" si="7"/>
        <v>0.2363022170868332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3852258720</v>
      </c>
      <c r="AA12" s="78">
        <f t="shared" si="11"/>
        <v>125849320</v>
      </c>
      <c r="AB12" s="78">
        <f t="shared" si="12"/>
        <v>3978108040</v>
      </c>
      <c r="AC12" s="40">
        <f t="shared" si="13"/>
        <v>0.7104227875027788</v>
      </c>
      <c r="AD12" s="77">
        <v>1213555369</v>
      </c>
      <c r="AE12" s="78">
        <v>31987643</v>
      </c>
      <c r="AF12" s="78">
        <f t="shared" si="14"/>
        <v>1245543012</v>
      </c>
      <c r="AG12" s="40">
        <f>IF(5326616389=0,0,3848493010/5326616389)</f>
        <v>0.7225023784231067</v>
      </c>
      <c r="AH12" s="40">
        <f t="shared" si="15"/>
        <v>0.06235277646116333</v>
      </c>
      <c r="AI12" s="12">
        <v>5116961036</v>
      </c>
      <c r="AJ12" s="12">
        <v>5326616389</v>
      </c>
      <c r="AK12" s="12">
        <v>3848493010</v>
      </c>
      <c r="AL12" s="12"/>
    </row>
    <row r="13" spans="1:38" s="13" customFormat="1" ht="12.75">
      <c r="A13" s="29"/>
      <c r="B13" s="38" t="s">
        <v>64</v>
      </c>
      <c r="C13" s="132" t="s">
        <v>65</v>
      </c>
      <c r="D13" s="77">
        <v>1380721855</v>
      </c>
      <c r="E13" s="78">
        <v>244338094</v>
      </c>
      <c r="F13" s="80">
        <f t="shared" si="0"/>
        <v>1625059949</v>
      </c>
      <c r="G13" s="77">
        <v>1419554646</v>
      </c>
      <c r="H13" s="78">
        <v>258235581</v>
      </c>
      <c r="I13" s="80">
        <f t="shared" si="1"/>
        <v>1677790227</v>
      </c>
      <c r="J13" s="77">
        <v>315639192</v>
      </c>
      <c r="K13" s="78">
        <v>22452626</v>
      </c>
      <c r="L13" s="78">
        <f t="shared" si="2"/>
        <v>338091818</v>
      </c>
      <c r="M13" s="40">
        <f t="shared" si="3"/>
        <v>0.20804882811126374</v>
      </c>
      <c r="N13" s="105">
        <v>354165640</v>
      </c>
      <c r="O13" s="106">
        <v>38872699</v>
      </c>
      <c r="P13" s="107">
        <f t="shared" si="4"/>
        <v>393038339</v>
      </c>
      <c r="Q13" s="40">
        <f t="shared" si="5"/>
        <v>0.24186082442180723</v>
      </c>
      <c r="R13" s="105">
        <v>278791246</v>
      </c>
      <c r="S13" s="107">
        <v>36442595</v>
      </c>
      <c r="T13" s="107">
        <f t="shared" si="6"/>
        <v>315233841</v>
      </c>
      <c r="U13" s="40">
        <f t="shared" si="7"/>
        <v>0.1878863256723452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948596078</v>
      </c>
      <c r="AA13" s="78">
        <f t="shared" si="11"/>
        <v>97767920</v>
      </c>
      <c r="AB13" s="78">
        <f t="shared" si="12"/>
        <v>1046363998</v>
      </c>
      <c r="AC13" s="40">
        <f t="shared" si="13"/>
        <v>0.6236560334905324</v>
      </c>
      <c r="AD13" s="77">
        <v>311900184</v>
      </c>
      <c r="AE13" s="78">
        <v>38215236</v>
      </c>
      <c r="AF13" s="78">
        <f t="shared" si="14"/>
        <v>350115420</v>
      </c>
      <c r="AG13" s="40">
        <f>IF(1452943448=0,0,953480124/1452943448)</f>
        <v>0.656240354923986</v>
      </c>
      <c r="AH13" s="40">
        <f t="shared" si="15"/>
        <v>-0.09962879955415849</v>
      </c>
      <c r="AI13" s="12">
        <v>1409237773</v>
      </c>
      <c r="AJ13" s="12">
        <v>1452943448</v>
      </c>
      <c r="AK13" s="12">
        <v>953480124</v>
      </c>
      <c r="AL13" s="12"/>
    </row>
    <row r="14" spans="1:38" s="13" customFormat="1" ht="12.75">
      <c r="A14" s="29"/>
      <c r="B14" s="38" t="s">
        <v>66</v>
      </c>
      <c r="C14" s="132" t="s">
        <v>67</v>
      </c>
      <c r="D14" s="77">
        <v>1620570015</v>
      </c>
      <c r="E14" s="78">
        <v>106439000</v>
      </c>
      <c r="F14" s="80">
        <f t="shared" si="0"/>
        <v>1727009015</v>
      </c>
      <c r="G14" s="77">
        <v>1846094555</v>
      </c>
      <c r="H14" s="78">
        <v>143718726</v>
      </c>
      <c r="I14" s="80">
        <f t="shared" si="1"/>
        <v>1989813281</v>
      </c>
      <c r="J14" s="77">
        <v>439206250</v>
      </c>
      <c r="K14" s="78">
        <v>15085751</v>
      </c>
      <c r="L14" s="78">
        <f t="shared" si="2"/>
        <v>454292001</v>
      </c>
      <c r="M14" s="40">
        <f t="shared" si="3"/>
        <v>0.26305131997240905</v>
      </c>
      <c r="N14" s="105">
        <v>375501193</v>
      </c>
      <c r="O14" s="106">
        <v>16027876</v>
      </c>
      <c r="P14" s="107">
        <f t="shared" si="4"/>
        <v>391529069</v>
      </c>
      <c r="Q14" s="40">
        <f t="shared" si="5"/>
        <v>0.22670933712526103</v>
      </c>
      <c r="R14" s="105">
        <v>382435498</v>
      </c>
      <c r="S14" s="107">
        <v>12093190</v>
      </c>
      <c r="T14" s="107">
        <f t="shared" si="6"/>
        <v>394528688</v>
      </c>
      <c r="U14" s="40">
        <f t="shared" si="7"/>
        <v>0.19827422591215482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1197142941</v>
      </c>
      <c r="AA14" s="78">
        <f t="shared" si="11"/>
        <v>43206817</v>
      </c>
      <c r="AB14" s="78">
        <f t="shared" si="12"/>
        <v>1240349758</v>
      </c>
      <c r="AC14" s="40">
        <f t="shared" si="13"/>
        <v>0.6233498237466031</v>
      </c>
      <c r="AD14" s="77">
        <v>330731785</v>
      </c>
      <c r="AE14" s="78">
        <v>11646632</v>
      </c>
      <c r="AF14" s="78">
        <f t="shared" si="14"/>
        <v>342378417</v>
      </c>
      <c r="AG14" s="40">
        <f>IF(1753831279=0,0,1177820973/1753831279)</f>
        <v>0.6715702856386335</v>
      </c>
      <c r="AH14" s="40">
        <f t="shared" si="15"/>
        <v>0.15231763572293167</v>
      </c>
      <c r="AI14" s="12">
        <v>1734990258</v>
      </c>
      <c r="AJ14" s="12">
        <v>1753831279</v>
      </c>
      <c r="AK14" s="12">
        <v>1177820973</v>
      </c>
      <c r="AL14" s="12"/>
    </row>
    <row r="15" spans="1:38" s="13" customFormat="1" ht="12.75">
      <c r="A15" s="29"/>
      <c r="B15" s="38" t="s">
        <v>68</v>
      </c>
      <c r="C15" s="132" t="s">
        <v>69</v>
      </c>
      <c r="D15" s="77">
        <v>1512326000</v>
      </c>
      <c r="E15" s="78">
        <v>292461000</v>
      </c>
      <c r="F15" s="80">
        <f t="shared" si="0"/>
        <v>1804787000</v>
      </c>
      <c r="G15" s="77">
        <v>1512326000</v>
      </c>
      <c r="H15" s="78">
        <v>292461000</v>
      </c>
      <c r="I15" s="80">
        <f t="shared" si="1"/>
        <v>1804787000</v>
      </c>
      <c r="J15" s="77">
        <v>430847330</v>
      </c>
      <c r="K15" s="78">
        <v>13163976</v>
      </c>
      <c r="L15" s="78">
        <f t="shared" si="2"/>
        <v>444011306</v>
      </c>
      <c r="M15" s="40">
        <f t="shared" si="3"/>
        <v>0.24601867477990477</v>
      </c>
      <c r="N15" s="105">
        <v>238849464</v>
      </c>
      <c r="O15" s="106">
        <v>49565201</v>
      </c>
      <c r="P15" s="107">
        <f t="shared" si="4"/>
        <v>288414665</v>
      </c>
      <c r="Q15" s="40">
        <f t="shared" si="5"/>
        <v>0.15980537592524768</v>
      </c>
      <c r="R15" s="105">
        <v>454590248</v>
      </c>
      <c r="S15" s="107">
        <v>73344887</v>
      </c>
      <c r="T15" s="107">
        <f t="shared" si="6"/>
        <v>527935135</v>
      </c>
      <c r="U15" s="40">
        <f t="shared" si="7"/>
        <v>0.29251935824005826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1124287042</v>
      </c>
      <c r="AA15" s="78">
        <f t="shared" si="11"/>
        <v>136074064</v>
      </c>
      <c r="AB15" s="78">
        <f t="shared" si="12"/>
        <v>1260361106</v>
      </c>
      <c r="AC15" s="40">
        <f t="shared" si="13"/>
        <v>0.6983434089452107</v>
      </c>
      <c r="AD15" s="77">
        <v>241362244</v>
      </c>
      <c r="AE15" s="78">
        <v>93824950</v>
      </c>
      <c r="AF15" s="78">
        <f t="shared" si="14"/>
        <v>335187194</v>
      </c>
      <c r="AG15" s="40">
        <f>IF(1683498311=0,0,1096097085/1683498311)</f>
        <v>0.6510829727823826</v>
      </c>
      <c r="AH15" s="40">
        <f t="shared" si="15"/>
        <v>0.5750456594114393</v>
      </c>
      <c r="AI15" s="12">
        <v>1657402008</v>
      </c>
      <c r="AJ15" s="12">
        <v>1683498311</v>
      </c>
      <c r="AK15" s="12">
        <v>1096097085</v>
      </c>
      <c r="AL15" s="12"/>
    </row>
    <row r="16" spans="1:38" s="13" customFormat="1" ht="12.75">
      <c r="A16" s="29"/>
      <c r="B16" s="38" t="s">
        <v>70</v>
      </c>
      <c r="C16" s="132" t="s">
        <v>71</v>
      </c>
      <c r="D16" s="77">
        <v>1952720874</v>
      </c>
      <c r="E16" s="78">
        <v>146450187</v>
      </c>
      <c r="F16" s="80">
        <f t="shared" si="0"/>
        <v>2099171061</v>
      </c>
      <c r="G16" s="77">
        <v>1929720874</v>
      </c>
      <c r="H16" s="78">
        <v>146451000</v>
      </c>
      <c r="I16" s="80">
        <f t="shared" si="1"/>
        <v>2076171874</v>
      </c>
      <c r="J16" s="77">
        <v>584662523</v>
      </c>
      <c r="K16" s="78">
        <v>19515351</v>
      </c>
      <c r="L16" s="78">
        <f t="shared" si="2"/>
        <v>604177874</v>
      </c>
      <c r="M16" s="40">
        <f t="shared" si="3"/>
        <v>0.28781736049285217</v>
      </c>
      <c r="N16" s="105">
        <v>488159109</v>
      </c>
      <c r="O16" s="106">
        <v>10954532</v>
      </c>
      <c r="P16" s="107">
        <f t="shared" si="4"/>
        <v>499113641</v>
      </c>
      <c r="Q16" s="40">
        <f t="shared" si="5"/>
        <v>0.23776701683484194</v>
      </c>
      <c r="R16" s="105">
        <v>553416717</v>
      </c>
      <c r="S16" s="107">
        <v>32167745</v>
      </c>
      <c r="T16" s="107">
        <f t="shared" si="6"/>
        <v>585584462</v>
      </c>
      <c r="U16" s="40">
        <f t="shared" si="7"/>
        <v>0.2820500890765848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1626238349</v>
      </c>
      <c r="AA16" s="78">
        <f t="shared" si="11"/>
        <v>62637628</v>
      </c>
      <c r="AB16" s="78">
        <f t="shared" si="12"/>
        <v>1688875977</v>
      </c>
      <c r="AC16" s="40">
        <f t="shared" si="13"/>
        <v>0.8134567268490027</v>
      </c>
      <c r="AD16" s="77">
        <v>385025609</v>
      </c>
      <c r="AE16" s="78">
        <v>34513995</v>
      </c>
      <c r="AF16" s="78">
        <f t="shared" si="14"/>
        <v>419539604</v>
      </c>
      <c r="AG16" s="40">
        <f>IF(1964071440=0,0,1533510256/1964071440)</f>
        <v>0.7807813019265735</v>
      </c>
      <c r="AH16" s="40">
        <f t="shared" si="15"/>
        <v>0.3957787451217598</v>
      </c>
      <c r="AI16" s="12">
        <v>1996071319</v>
      </c>
      <c r="AJ16" s="12">
        <v>1964071440</v>
      </c>
      <c r="AK16" s="12">
        <v>1533510256</v>
      </c>
      <c r="AL16" s="12"/>
    </row>
    <row r="17" spans="1:38" s="13" customFormat="1" ht="12.75">
      <c r="A17" s="29"/>
      <c r="B17" s="38" t="s">
        <v>72</v>
      </c>
      <c r="C17" s="132" t="s">
        <v>73</v>
      </c>
      <c r="D17" s="77">
        <v>2157452148</v>
      </c>
      <c r="E17" s="78">
        <v>582415965</v>
      </c>
      <c r="F17" s="80">
        <f t="shared" si="0"/>
        <v>2739868113</v>
      </c>
      <c r="G17" s="77">
        <v>2147186837</v>
      </c>
      <c r="H17" s="78">
        <v>807538205</v>
      </c>
      <c r="I17" s="80">
        <f t="shared" si="1"/>
        <v>2954725042</v>
      </c>
      <c r="J17" s="77">
        <v>585679805</v>
      </c>
      <c r="K17" s="78">
        <v>112463734</v>
      </c>
      <c r="L17" s="78">
        <f t="shared" si="2"/>
        <v>698143539</v>
      </c>
      <c r="M17" s="40">
        <f t="shared" si="3"/>
        <v>0.25480917701384265</v>
      </c>
      <c r="N17" s="105">
        <v>527394970</v>
      </c>
      <c r="O17" s="106">
        <v>146103175</v>
      </c>
      <c r="P17" s="107">
        <f t="shared" si="4"/>
        <v>673498145</v>
      </c>
      <c r="Q17" s="40">
        <f t="shared" si="5"/>
        <v>0.2458140747010475</v>
      </c>
      <c r="R17" s="105">
        <v>517950335</v>
      </c>
      <c r="S17" s="107">
        <v>91134015</v>
      </c>
      <c r="T17" s="107">
        <f t="shared" si="6"/>
        <v>609084350</v>
      </c>
      <c r="U17" s="40">
        <f t="shared" si="7"/>
        <v>0.20613909630918545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1631025110</v>
      </c>
      <c r="AA17" s="78">
        <f t="shared" si="11"/>
        <v>349700924</v>
      </c>
      <c r="AB17" s="78">
        <f t="shared" si="12"/>
        <v>1980726034</v>
      </c>
      <c r="AC17" s="40">
        <f t="shared" si="13"/>
        <v>0.6703588340183703</v>
      </c>
      <c r="AD17" s="77">
        <v>393450272</v>
      </c>
      <c r="AE17" s="78">
        <v>126291238</v>
      </c>
      <c r="AF17" s="78">
        <f t="shared" si="14"/>
        <v>519741510</v>
      </c>
      <c r="AG17" s="40">
        <f>IF(2444702809=0,0,1652452130/2444702809)</f>
        <v>0.6759317017662084</v>
      </c>
      <c r="AH17" s="40">
        <f t="shared" si="15"/>
        <v>0.1718986039810444</v>
      </c>
      <c r="AI17" s="12">
        <v>2250668601</v>
      </c>
      <c r="AJ17" s="12">
        <v>2444702809</v>
      </c>
      <c r="AK17" s="12">
        <v>1652452130</v>
      </c>
      <c r="AL17" s="12"/>
    </row>
    <row r="18" spans="1:38" s="13" customFormat="1" ht="12.75">
      <c r="A18" s="29"/>
      <c r="B18" s="38" t="s">
        <v>74</v>
      </c>
      <c r="C18" s="132" t="s">
        <v>75</v>
      </c>
      <c r="D18" s="77">
        <v>2249520584</v>
      </c>
      <c r="E18" s="78">
        <v>293360149</v>
      </c>
      <c r="F18" s="80">
        <f t="shared" si="0"/>
        <v>2542880733</v>
      </c>
      <c r="G18" s="77">
        <v>2263205523</v>
      </c>
      <c r="H18" s="78">
        <v>383640412</v>
      </c>
      <c r="I18" s="80">
        <f t="shared" si="1"/>
        <v>2646845935</v>
      </c>
      <c r="J18" s="77">
        <v>572941890</v>
      </c>
      <c r="K18" s="78">
        <v>29401255</v>
      </c>
      <c r="L18" s="78">
        <f t="shared" si="2"/>
        <v>602343145</v>
      </c>
      <c r="M18" s="40">
        <f t="shared" si="3"/>
        <v>0.23687432020823762</v>
      </c>
      <c r="N18" s="105">
        <v>562634690</v>
      </c>
      <c r="O18" s="106">
        <v>96816820</v>
      </c>
      <c r="P18" s="107">
        <f t="shared" si="4"/>
        <v>659451510</v>
      </c>
      <c r="Q18" s="40">
        <f t="shared" si="5"/>
        <v>0.25933245765010876</v>
      </c>
      <c r="R18" s="105">
        <v>562691621</v>
      </c>
      <c r="S18" s="107">
        <v>70149315</v>
      </c>
      <c r="T18" s="107">
        <f t="shared" si="6"/>
        <v>632840936</v>
      </c>
      <c r="U18" s="40">
        <f t="shared" si="7"/>
        <v>0.2390924713946375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1698268201</v>
      </c>
      <c r="AA18" s="78">
        <f t="shared" si="11"/>
        <v>196367390</v>
      </c>
      <c r="AB18" s="78">
        <f t="shared" si="12"/>
        <v>1894635591</v>
      </c>
      <c r="AC18" s="40">
        <f t="shared" si="13"/>
        <v>0.7158087918706156</v>
      </c>
      <c r="AD18" s="77">
        <v>575308055</v>
      </c>
      <c r="AE18" s="78">
        <v>68294498</v>
      </c>
      <c r="AF18" s="78">
        <f t="shared" si="14"/>
        <v>643602553</v>
      </c>
      <c r="AG18" s="40">
        <f>IF(2498156937=0,0,1710775845/2498156937)</f>
        <v>0.6848152010235377</v>
      </c>
      <c r="AH18" s="40">
        <f t="shared" si="15"/>
        <v>-0.01672090477242094</v>
      </c>
      <c r="AI18" s="12">
        <v>2485303817</v>
      </c>
      <c r="AJ18" s="12">
        <v>2498156937</v>
      </c>
      <c r="AK18" s="12">
        <v>1710775845</v>
      </c>
      <c r="AL18" s="12"/>
    </row>
    <row r="19" spans="1:38" s="13" customFormat="1" ht="12.75">
      <c r="A19" s="29"/>
      <c r="B19" s="38" t="s">
        <v>76</v>
      </c>
      <c r="C19" s="132" t="s">
        <v>77</v>
      </c>
      <c r="D19" s="77">
        <v>4036592433</v>
      </c>
      <c r="E19" s="78">
        <v>709060000</v>
      </c>
      <c r="F19" s="80">
        <f t="shared" si="0"/>
        <v>4745652433</v>
      </c>
      <c r="G19" s="77">
        <v>4253162800</v>
      </c>
      <c r="H19" s="78">
        <v>710287627</v>
      </c>
      <c r="I19" s="80">
        <f t="shared" si="1"/>
        <v>4963450427</v>
      </c>
      <c r="J19" s="77">
        <v>1102341857</v>
      </c>
      <c r="K19" s="78">
        <v>72582551</v>
      </c>
      <c r="L19" s="78">
        <f t="shared" si="2"/>
        <v>1174924408</v>
      </c>
      <c r="M19" s="40">
        <f t="shared" si="3"/>
        <v>0.2475791104780218</v>
      </c>
      <c r="N19" s="105">
        <v>976026641</v>
      </c>
      <c r="O19" s="106">
        <v>148969630</v>
      </c>
      <c r="P19" s="107">
        <f t="shared" si="4"/>
        <v>1124996271</v>
      </c>
      <c r="Q19" s="40">
        <f t="shared" si="5"/>
        <v>0.23705829427732134</v>
      </c>
      <c r="R19" s="105">
        <v>983520255</v>
      </c>
      <c r="S19" s="107">
        <v>80232143</v>
      </c>
      <c r="T19" s="107">
        <f t="shared" si="6"/>
        <v>1063752398</v>
      </c>
      <c r="U19" s="40">
        <f t="shared" si="7"/>
        <v>0.21431711944042753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3061888753</v>
      </c>
      <c r="AA19" s="78">
        <f t="shared" si="11"/>
        <v>301784324</v>
      </c>
      <c r="AB19" s="78">
        <f t="shared" si="12"/>
        <v>3363673077</v>
      </c>
      <c r="AC19" s="40">
        <f t="shared" si="13"/>
        <v>0.6776884601692427</v>
      </c>
      <c r="AD19" s="77">
        <v>803512092</v>
      </c>
      <c r="AE19" s="78">
        <v>173440535</v>
      </c>
      <c r="AF19" s="78">
        <f t="shared" si="14"/>
        <v>976952627</v>
      </c>
      <c r="AG19" s="40">
        <f>IF(4400108643=0,0,3066760143/4400108643)</f>
        <v>0.6969737322006392</v>
      </c>
      <c r="AH19" s="40">
        <f t="shared" si="15"/>
        <v>0.08884747182321662</v>
      </c>
      <c r="AI19" s="12">
        <v>4168088170</v>
      </c>
      <c r="AJ19" s="12">
        <v>4400108643</v>
      </c>
      <c r="AK19" s="12">
        <v>3066760143</v>
      </c>
      <c r="AL19" s="12"/>
    </row>
    <row r="20" spans="1:38" s="13" customFormat="1" ht="12.75">
      <c r="A20" s="29"/>
      <c r="B20" s="38" t="s">
        <v>78</v>
      </c>
      <c r="C20" s="132" t="s">
        <v>79</v>
      </c>
      <c r="D20" s="77">
        <v>1580961406</v>
      </c>
      <c r="E20" s="78">
        <v>400509490</v>
      </c>
      <c r="F20" s="80">
        <f t="shared" si="0"/>
        <v>1981470896</v>
      </c>
      <c r="G20" s="77">
        <v>1274771851</v>
      </c>
      <c r="H20" s="78">
        <v>389559958</v>
      </c>
      <c r="I20" s="80">
        <f t="shared" si="1"/>
        <v>1664331809</v>
      </c>
      <c r="J20" s="77">
        <v>426760772</v>
      </c>
      <c r="K20" s="78">
        <v>42408572</v>
      </c>
      <c r="L20" s="78">
        <f t="shared" si="2"/>
        <v>469169344</v>
      </c>
      <c r="M20" s="40">
        <f t="shared" si="3"/>
        <v>0.2367783170306025</v>
      </c>
      <c r="N20" s="105">
        <v>398077417</v>
      </c>
      <c r="O20" s="106">
        <v>93179558</v>
      </c>
      <c r="P20" s="107">
        <f t="shared" si="4"/>
        <v>491256975</v>
      </c>
      <c r="Q20" s="40">
        <f t="shared" si="5"/>
        <v>0.24792540530961196</v>
      </c>
      <c r="R20" s="105">
        <v>457397936</v>
      </c>
      <c r="S20" s="107">
        <v>85718785</v>
      </c>
      <c r="T20" s="107">
        <f t="shared" si="6"/>
        <v>543116721</v>
      </c>
      <c r="U20" s="40">
        <f t="shared" si="7"/>
        <v>0.32632718912362024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1282236125</v>
      </c>
      <c r="AA20" s="78">
        <f t="shared" si="11"/>
        <v>221306915</v>
      </c>
      <c r="AB20" s="78">
        <f t="shared" si="12"/>
        <v>1503543040</v>
      </c>
      <c r="AC20" s="40">
        <f t="shared" si="13"/>
        <v>0.9033913981992517</v>
      </c>
      <c r="AD20" s="77">
        <v>375795662</v>
      </c>
      <c r="AE20" s="78">
        <v>61480286</v>
      </c>
      <c r="AF20" s="78">
        <f t="shared" si="14"/>
        <v>437275948</v>
      </c>
      <c r="AG20" s="40">
        <f>IF(1936917984=0,0,1386530549/1936917984)</f>
        <v>0.7158437065758588</v>
      </c>
      <c r="AH20" s="40">
        <f t="shared" si="15"/>
        <v>0.24204572303620053</v>
      </c>
      <c r="AI20" s="12">
        <v>1970590852</v>
      </c>
      <c r="AJ20" s="12">
        <v>1936917984</v>
      </c>
      <c r="AK20" s="12">
        <v>1386530549</v>
      </c>
      <c r="AL20" s="12"/>
    </row>
    <row r="21" spans="1:38" s="13" customFormat="1" ht="12.75">
      <c r="A21" s="29"/>
      <c r="B21" s="38" t="s">
        <v>80</v>
      </c>
      <c r="C21" s="132" t="s">
        <v>81</v>
      </c>
      <c r="D21" s="77">
        <v>2404462999</v>
      </c>
      <c r="E21" s="78">
        <v>580121000</v>
      </c>
      <c r="F21" s="80">
        <f t="shared" si="0"/>
        <v>2984583999</v>
      </c>
      <c r="G21" s="77">
        <v>2253985131</v>
      </c>
      <c r="H21" s="78">
        <v>626285336</v>
      </c>
      <c r="I21" s="80">
        <f t="shared" si="1"/>
        <v>2880270467</v>
      </c>
      <c r="J21" s="77">
        <v>621553068</v>
      </c>
      <c r="K21" s="78">
        <v>49932781</v>
      </c>
      <c r="L21" s="78">
        <f t="shared" si="2"/>
        <v>671485849</v>
      </c>
      <c r="M21" s="40">
        <f t="shared" si="3"/>
        <v>0.2249847379819046</v>
      </c>
      <c r="N21" s="105">
        <v>443576238</v>
      </c>
      <c r="O21" s="106">
        <v>109444011</v>
      </c>
      <c r="P21" s="107">
        <f t="shared" si="4"/>
        <v>553020249</v>
      </c>
      <c r="Q21" s="40">
        <f t="shared" si="5"/>
        <v>0.18529223810932854</v>
      </c>
      <c r="R21" s="105">
        <v>658803033</v>
      </c>
      <c r="S21" s="107">
        <v>159573655</v>
      </c>
      <c r="T21" s="107">
        <f t="shared" si="6"/>
        <v>818376688</v>
      </c>
      <c r="U21" s="40">
        <f t="shared" si="7"/>
        <v>0.2841318887848736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1723932339</v>
      </c>
      <c r="AA21" s="78">
        <f t="shared" si="11"/>
        <v>318950447</v>
      </c>
      <c r="AB21" s="78">
        <f t="shared" si="12"/>
        <v>2042882786</v>
      </c>
      <c r="AC21" s="40">
        <f t="shared" si="13"/>
        <v>0.7092676918386082</v>
      </c>
      <c r="AD21" s="77">
        <v>445100598</v>
      </c>
      <c r="AE21" s="78">
        <v>98138532</v>
      </c>
      <c r="AF21" s="78">
        <f t="shared" si="14"/>
        <v>543239130</v>
      </c>
      <c r="AG21" s="40">
        <f>IF(2988004000=0,0,1804545407/2988004000)</f>
        <v>0.6039300506291156</v>
      </c>
      <c r="AH21" s="40">
        <f t="shared" si="15"/>
        <v>0.506475956546061</v>
      </c>
      <c r="AI21" s="12">
        <v>2746848000</v>
      </c>
      <c r="AJ21" s="12">
        <v>2988004000</v>
      </c>
      <c r="AK21" s="12">
        <v>1804545407</v>
      </c>
      <c r="AL21" s="12"/>
    </row>
    <row r="22" spans="1:38" s="13" customFormat="1" ht="12.75">
      <c r="A22" s="29"/>
      <c r="B22" s="38" t="s">
        <v>82</v>
      </c>
      <c r="C22" s="132" t="s">
        <v>83</v>
      </c>
      <c r="D22" s="77">
        <v>3575490049</v>
      </c>
      <c r="E22" s="78">
        <v>1063748483</v>
      </c>
      <c r="F22" s="80">
        <f t="shared" si="0"/>
        <v>4639238532</v>
      </c>
      <c r="G22" s="77">
        <v>3575490049</v>
      </c>
      <c r="H22" s="78">
        <v>1063748483</v>
      </c>
      <c r="I22" s="80">
        <f t="shared" si="1"/>
        <v>4639238532</v>
      </c>
      <c r="J22" s="77">
        <v>945208916</v>
      </c>
      <c r="K22" s="78">
        <v>130695281</v>
      </c>
      <c r="L22" s="78">
        <f t="shared" si="2"/>
        <v>1075904197</v>
      </c>
      <c r="M22" s="40">
        <f t="shared" si="3"/>
        <v>0.23191396380650686</v>
      </c>
      <c r="N22" s="105">
        <v>725179560</v>
      </c>
      <c r="O22" s="106">
        <v>120601804</v>
      </c>
      <c r="P22" s="107">
        <f t="shared" si="4"/>
        <v>845781364</v>
      </c>
      <c r="Q22" s="40">
        <f t="shared" si="5"/>
        <v>0.18231038524233398</v>
      </c>
      <c r="R22" s="105">
        <v>727075797</v>
      </c>
      <c r="S22" s="107">
        <v>182803926</v>
      </c>
      <c r="T22" s="107">
        <f t="shared" si="6"/>
        <v>909879723</v>
      </c>
      <c r="U22" s="40">
        <f t="shared" si="7"/>
        <v>0.1961269541809367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2397464273</v>
      </c>
      <c r="AA22" s="78">
        <f t="shared" si="11"/>
        <v>434101011</v>
      </c>
      <c r="AB22" s="78">
        <f t="shared" si="12"/>
        <v>2831565284</v>
      </c>
      <c r="AC22" s="40">
        <f t="shared" si="13"/>
        <v>0.6103513032297775</v>
      </c>
      <c r="AD22" s="77">
        <v>707095107</v>
      </c>
      <c r="AE22" s="78">
        <v>146610717</v>
      </c>
      <c r="AF22" s="78">
        <f t="shared" si="14"/>
        <v>853705824</v>
      </c>
      <c r="AG22" s="40">
        <f>IF(4656830294=0,0,2736906861/4656830294)</f>
        <v>0.5877188319544977</v>
      </c>
      <c r="AH22" s="40">
        <f t="shared" si="15"/>
        <v>0.06580006533960336</v>
      </c>
      <c r="AI22" s="12">
        <v>4684752056</v>
      </c>
      <c r="AJ22" s="12">
        <v>4656830294</v>
      </c>
      <c r="AK22" s="12">
        <v>2736906861</v>
      </c>
      <c r="AL22" s="12"/>
    </row>
    <row r="23" spans="1:38" s="13" customFormat="1" ht="12.75">
      <c r="A23" s="29"/>
      <c r="B23" s="38" t="s">
        <v>84</v>
      </c>
      <c r="C23" s="132" t="s">
        <v>85</v>
      </c>
      <c r="D23" s="77">
        <v>1749220508</v>
      </c>
      <c r="E23" s="78">
        <v>111708601</v>
      </c>
      <c r="F23" s="80">
        <f t="shared" si="0"/>
        <v>1860929109</v>
      </c>
      <c r="G23" s="77">
        <v>1794620291</v>
      </c>
      <c r="H23" s="78">
        <v>201018000</v>
      </c>
      <c r="I23" s="80">
        <f t="shared" si="1"/>
        <v>1995638291</v>
      </c>
      <c r="J23" s="77">
        <v>612746482</v>
      </c>
      <c r="K23" s="78">
        <v>20670891</v>
      </c>
      <c r="L23" s="78">
        <f t="shared" si="2"/>
        <v>633417373</v>
      </c>
      <c r="M23" s="40">
        <f t="shared" si="3"/>
        <v>0.3403769493080674</v>
      </c>
      <c r="N23" s="105">
        <v>389597478</v>
      </c>
      <c r="O23" s="106">
        <v>37167344</v>
      </c>
      <c r="P23" s="107">
        <f t="shared" si="4"/>
        <v>426764822</v>
      </c>
      <c r="Q23" s="40">
        <f t="shared" si="5"/>
        <v>0.2293288980950644</v>
      </c>
      <c r="R23" s="105">
        <v>431010770</v>
      </c>
      <c r="S23" s="107">
        <v>23126646</v>
      </c>
      <c r="T23" s="107">
        <f t="shared" si="6"/>
        <v>454137416</v>
      </c>
      <c r="U23" s="40">
        <f t="shared" si="7"/>
        <v>0.22756499414151599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1433354730</v>
      </c>
      <c r="AA23" s="78">
        <f t="shared" si="11"/>
        <v>80964881</v>
      </c>
      <c r="AB23" s="78">
        <f t="shared" si="12"/>
        <v>1514319611</v>
      </c>
      <c r="AC23" s="40">
        <f t="shared" si="13"/>
        <v>0.7588146698874901</v>
      </c>
      <c r="AD23" s="77">
        <v>388878462</v>
      </c>
      <c r="AE23" s="78">
        <v>26949098</v>
      </c>
      <c r="AF23" s="78">
        <f t="shared" si="14"/>
        <v>415827560</v>
      </c>
      <c r="AG23" s="40">
        <f>IF(1926122032=0,0,1414644372/1926122032)</f>
        <v>0.7344521003848836</v>
      </c>
      <c r="AH23" s="40">
        <f t="shared" si="15"/>
        <v>0.09212918932068859</v>
      </c>
      <c r="AI23" s="12">
        <v>1779591977</v>
      </c>
      <c r="AJ23" s="12">
        <v>1926122032</v>
      </c>
      <c r="AK23" s="12">
        <v>1414644372</v>
      </c>
      <c r="AL23" s="12"/>
    </row>
    <row r="24" spans="1:38" s="13" customFormat="1" ht="12.75">
      <c r="A24" s="29"/>
      <c r="B24" s="38" t="s">
        <v>86</v>
      </c>
      <c r="C24" s="132" t="s">
        <v>87</v>
      </c>
      <c r="D24" s="77">
        <v>1219309257</v>
      </c>
      <c r="E24" s="78">
        <v>452759209</v>
      </c>
      <c r="F24" s="80">
        <f t="shared" si="0"/>
        <v>1672068466</v>
      </c>
      <c r="G24" s="77">
        <v>1229752981</v>
      </c>
      <c r="H24" s="78">
        <v>437183144</v>
      </c>
      <c r="I24" s="80">
        <f t="shared" si="1"/>
        <v>1666936125</v>
      </c>
      <c r="J24" s="77">
        <v>554155975</v>
      </c>
      <c r="K24" s="78">
        <v>48711947</v>
      </c>
      <c r="L24" s="78">
        <f t="shared" si="2"/>
        <v>602867922</v>
      </c>
      <c r="M24" s="40">
        <f t="shared" si="3"/>
        <v>0.3605521749011921</v>
      </c>
      <c r="N24" s="105">
        <v>195115952</v>
      </c>
      <c r="O24" s="106">
        <v>56789015</v>
      </c>
      <c r="P24" s="107">
        <f t="shared" si="4"/>
        <v>251904967</v>
      </c>
      <c r="Q24" s="40">
        <f t="shared" si="5"/>
        <v>0.15065469633705778</v>
      </c>
      <c r="R24" s="105">
        <v>224134704</v>
      </c>
      <c r="S24" s="107">
        <v>49287246</v>
      </c>
      <c r="T24" s="107">
        <f t="shared" si="6"/>
        <v>273421950</v>
      </c>
      <c r="U24" s="40">
        <f t="shared" si="7"/>
        <v>0.164026650991201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973406631</v>
      </c>
      <c r="AA24" s="78">
        <f t="shared" si="11"/>
        <v>154788208</v>
      </c>
      <c r="AB24" s="78">
        <f t="shared" si="12"/>
        <v>1128194839</v>
      </c>
      <c r="AC24" s="40">
        <f t="shared" si="13"/>
        <v>0.6768074805505819</v>
      </c>
      <c r="AD24" s="77">
        <v>192442900</v>
      </c>
      <c r="AE24" s="78">
        <v>37201856</v>
      </c>
      <c r="AF24" s="78">
        <f t="shared" si="14"/>
        <v>229644756</v>
      </c>
      <c r="AG24" s="40">
        <f>IF(1362637099=0,0,963208546/1362637099)</f>
        <v>0.7068709245527448</v>
      </c>
      <c r="AH24" s="40">
        <f t="shared" si="15"/>
        <v>0.19063006167665342</v>
      </c>
      <c r="AI24" s="12">
        <v>1351186325</v>
      </c>
      <c r="AJ24" s="12">
        <v>1362637099</v>
      </c>
      <c r="AK24" s="12">
        <v>963208546</v>
      </c>
      <c r="AL24" s="12"/>
    </row>
    <row r="25" spans="1:38" s="13" customFormat="1" ht="12.75">
      <c r="A25" s="29"/>
      <c r="B25" s="38" t="s">
        <v>88</v>
      </c>
      <c r="C25" s="132" t="s">
        <v>89</v>
      </c>
      <c r="D25" s="77">
        <v>1362930807</v>
      </c>
      <c r="E25" s="78">
        <v>236368760</v>
      </c>
      <c r="F25" s="80">
        <f t="shared" si="0"/>
        <v>1599299567</v>
      </c>
      <c r="G25" s="77">
        <v>1362930807</v>
      </c>
      <c r="H25" s="78">
        <v>278127363</v>
      </c>
      <c r="I25" s="80">
        <f t="shared" si="1"/>
        <v>1641058170</v>
      </c>
      <c r="J25" s="77">
        <v>364479914</v>
      </c>
      <c r="K25" s="78">
        <v>22690999</v>
      </c>
      <c r="L25" s="78">
        <f t="shared" si="2"/>
        <v>387170913</v>
      </c>
      <c r="M25" s="40">
        <f t="shared" si="3"/>
        <v>0.24208779955231488</v>
      </c>
      <c r="N25" s="105">
        <v>331966308</v>
      </c>
      <c r="O25" s="106">
        <v>47734978</v>
      </c>
      <c r="P25" s="107">
        <f t="shared" si="4"/>
        <v>379701286</v>
      </c>
      <c r="Q25" s="40">
        <f t="shared" si="5"/>
        <v>0.23741723804268372</v>
      </c>
      <c r="R25" s="105">
        <v>305580769</v>
      </c>
      <c r="S25" s="107">
        <v>30732689</v>
      </c>
      <c r="T25" s="107">
        <f t="shared" si="6"/>
        <v>336313458</v>
      </c>
      <c r="U25" s="40">
        <f t="shared" si="7"/>
        <v>0.20493695113805746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1002026991</v>
      </c>
      <c r="AA25" s="78">
        <f t="shared" si="11"/>
        <v>101158666</v>
      </c>
      <c r="AB25" s="78">
        <f t="shared" si="12"/>
        <v>1103185657</v>
      </c>
      <c r="AC25" s="40">
        <f t="shared" si="13"/>
        <v>0.6722404343534026</v>
      </c>
      <c r="AD25" s="77">
        <v>294639423</v>
      </c>
      <c r="AE25" s="78">
        <v>54392487</v>
      </c>
      <c r="AF25" s="78">
        <f t="shared" si="14"/>
        <v>349031910</v>
      </c>
      <c r="AG25" s="40">
        <f>IF(1478700655=0,0,1057025327/1478700655)</f>
        <v>0.7148338802893138</v>
      </c>
      <c r="AH25" s="40">
        <f t="shared" si="15"/>
        <v>-0.03643922413856082</v>
      </c>
      <c r="AI25" s="12">
        <v>1491102633</v>
      </c>
      <c r="AJ25" s="12">
        <v>1478700655</v>
      </c>
      <c r="AK25" s="12">
        <v>1057025327</v>
      </c>
      <c r="AL25" s="12"/>
    </row>
    <row r="26" spans="1:38" s="13" customFormat="1" ht="12.75">
      <c r="A26" s="29"/>
      <c r="B26" s="38" t="s">
        <v>90</v>
      </c>
      <c r="C26" s="132" t="s">
        <v>91</v>
      </c>
      <c r="D26" s="77">
        <v>1085208711</v>
      </c>
      <c r="E26" s="78">
        <v>224076728</v>
      </c>
      <c r="F26" s="80">
        <f t="shared" si="0"/>
        <v>1309285439</v>
      </c>
      <c r="G26" s="77">
        <v>1085208711</v>
      </c>
      <c r="H26" s="78">
        <v>224076728</v>
      </c>
      <c r="I26" s="80">
        <f t="shared" si="1"/>
        <v>1309285439</v>
      </c>
      <c r="J26" s="77">
        <v>350552454</v>
      </c>
      <c r="K26" s="78">
        <v>39953661</v>
      </c>
      <c r="L26" s="78">
        <f t="shared" si="2"/>
        <v>390506115</v>
      </c>
      <c r="M26" s="40">
        <f t="shared" si="3"/>
        <v>0.29825896123786344</v>
      </c>
      <c r="N26" s="105">
        <v>287526903</v>
      </c>
      <c r="O26" s="106">
        <v>61834988</v>
      </c>
      <c r="P26" s="107">
        <f t="shared" si="4"/>
        <v>349361891</v>
      </c>
      <c r="Q26" s="40">
        <f t="shared" si="5"/>
        <v>0.2668340154052534</v>
      </c>
      <c r="R26" s="105">
        <v>239879948</v>
      </c>
      <c r="S26" s="107">
        <v>36451761</v>
      </c>
      <c r="T26" s="107">
        <f t="shared" si="6"/>
        <v>276331709</v>
      </c>
      <c r="U26" s="40">
        <f t="shared" si="7"/>
        <v>0.21105535948758078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877959305</v>
      </c>
      <c r="AA26" s="78">
        <f t="shared" si="11"/>
        <v>138240410</v>
      </c>
      <c r="AB26" s="78">
        <f t="shared" si="12"/>
        <v>1016199715</v>
      </c>
      <c r="AC26" s="40">
        <f t="shared" si="13"/>
        <v>0.7761483361306977</v>
      </c>
      <c r="AD26" s="77">
        <v>263950277</v>
      </c>
      <c r="AE26" s="78">
        <v>51190920</v>
      </c>
      <c r="AF26" s="78">
        <f t="shared" si="14"/>
        <v>315141197</v>
      </c>
      <c r="AG26" s="40">
        <f>IF(1376498364=0,0,951027117/1376498364)</f>
        <v>0.6909031945642037</v>
      </c>
      <c r="AH26" s="40">
        <f t="shared" si="15"/>
        <v>-0.12314952272012858</v>
      </c>
      <c r="AI26" s="12">
        <v>1217710599</v>
      </c>
      <c r="AJ26" s="12">
        <v>1376498364</v>
      </c>
      <c r="AK26" s="12">
        <v>951027117</v>
      </c>
      <c r="AL26" s="12"/>
    </row>
    <row r="27" spans="1:38" s="13" customFormat="1" ht="12.75">
      <c r="A27" s="29"/>
      <c r="B27" s="41" t="s">
        <v>92</v>
      </c>
      <c r="C27" s="132" t="s">
        <v>93</v>
      </c>
      <c r="D27" s="77">
        <v>2524300900</v>
      </c>
      <c r="E27" s="78">
        <v>448780800</v>
      </c>
      <c r="F27" s="80">
        <f t="shared" si="0"/>
        <v>2973081700</v>
      </c>
      <c r="G27" s="77">
        <v>2462577400</v>
      </c>
      <c r="H27" s="78">
        <v>510260500</v>
      </c>
      <c r="I27" s="80">
        <f t="shared" si="1"/>
        <v>2972837900</v>
      </c>
      <c r="J27" s="77">
        <v>713617048</v>
      </c>
      <c r="K27" s="78">
        <v>35737340</v>
      </c>
      <c r="L27" s="78">
        <f t="shared" si="2"/>
        <v>749354388</v>
      </c>
      <c r="M27" s="40">
        <f t="shared" si="3"/>
        <v>0.2520463490794754</v>
      </c>
      <c r="N27" s="105">
        <v>522451641</v>
      </c>
      <c r="O27" s="106">
        <v>64063951</v>
      </c>
      <c r="P27" s="107">
        <f t="shared" si="4"/>
        <v>586515592</v>
      </c>
      <c r="Q27" s="40">
        <f t="shared" si="5"/>
        <v>0.19727530259259274</v>
      </c>
      <c r="R27" s="105">
        <v>671929465</v>
      </c>
      <c r="S27" s="107">
        <v>150412207</v>
      </c>
      <c r="T27" s="107">
        <f t="shared" si="6"/>
        <v>822341672</v>
      </c>
      <c r="U27" s="40">
        <f t="shared" si="7"/>
        <v>0.2766184029072019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1907998154</v>
      </c>
      <c r="AA27" s="78">
        <f t="shared" si="11"/>
        <v>250213498</v>
      </c>
      <c r="AB27" s="78">
        <f t="shared" si="12"/>
        <v>2158211652</v>
      </c>
      <c r="AC27" s="40">
        <f t="shared" si="13"/>
        <v>0.7259769030797139</v>
      </c>
      <c r="AD27" s="77">
        <v>619052720</v>
      </c>
      <c r="AE27" s="78">
        <v>64986658</v>
      </c>
      <c r="AF27" s="78">
        <f t="shared" si="14"/>
        <v>684039378</v>
      </c>
      <c r="AG27" s="40">
        <f>IF(2786847700=0,0,2037377184/2786847700)</f>
        <v>0.7310687211217176</v>
      </c>
      <c r="AH27" s="40">
        <f t="shared" si="15"/>
        <v>0.20218469644886428</v>
      </c>
      <c r="AI27" s="12">
        <v>2790420600</v>
      </c>
      <c r="AJ27" s="12">
        <v>2786847700</v>
      </c>
      <c r="AK27" s="12">
        <v>2037377184</v>
      </c>
      <c r="AL27" s="12"/>
    </row>
    <row r="28" spans="1:38" s="13" customFormat="1" ht="12.75">
      <c r="A28" s="42"/>
      <c r="B28" s="43" t="s">
        <v>655</v>
      </c>
      <c r="C28" s="133"/>
      <c r="D28" s="81">
        <f>SUM(D9:D27)</f>
        <v>42601305978</v>
      </c>
      <c r="E28" s="82">
        <f>SUM(E9:E27)</f>
        <v>7144285655</v>
      </c>
      <c r="F28" s="83">
        <f t="shared" si="0"/>
        <v>49745591633</v>
      </c>
      <c r="G28" s="81">
        <f>SUM(G9:G27)</f>
        <v>42143787612</v>
      </c>
      <c r="H28" s="82">
        <f>SUM(H9:H27)</f>
        <v>7907189498</v>
      </c>
      <c r="I28" s="83">
        <f t="shared" si="1"/>
        <v>50050977110</v>
      </c>
      <c r="J28" s="81">
        <f>SUM(J9:J27)</f>
        <v>12225291042</v>
      </c>
      <c r="K28" s="82">
        <f>SUM(K9:K27)</f>
        <v>797477596</v>
      </c>
      <c r="L28" s="82">
        <f t="shared" si="2"/>
        <v>13022768638</v>
      </c>
      <c r="M28" s="44">
        <f t="shared" si="3"/>
        <v>0.2617873908119532</v>
      </c>
      <c r="N28" s="108">
        <f>SUM(N9:N27)</f>
        <v>9326824153</v>
      </c>
      <c r="O28" s="109">
        <f>SUM(O9:O27)</f>
        <v>1289903717</v>
      </c>
      <c r="P28" s="110">
        <f t="shared" si="4"/>
        <v>10616727870</v>
      </c>
      <c r="Q28" s="44">
        <f t="shared" si="5"/>
        <v>0.21342047649820542</v>
      </c>
      <c r="R28" s="108">
        <f>SUM(R9:R27)</f>
        <v>10198319247</v>
      </c>
      <c r="S28" s="110">
        <f>SUM(S9:S27)</f>
        <v>1249920968</v>
      </c>
      <c r="T28" s="110">
        <f t="shared" si="6"/>
        <v>11448240215</v>
      </c>
      <c r="U28" s="44">
        <f t="shared" si="7"/>
        <v>0.2287316027784937</v>
      </c>
      <c r="V28" s="108">
        <f>SUM(V9:V27)</f>
        <v>0</v>
      </c>
      <c r="W28" s="110">
        <f>SUM(W9:W27)</f>
        <v>0</v>
      </c>
      <c r="X28" s="110">
        <f t="shared" si="8"/>
        <v>0</v>
      </c>
      <c r="Y28" s="44">
        <f t="shared" si="9"/>
        <v>0</v>
      </c>
      <c r="Z28" s="81">
        <f t="shared" si="10"/>
        <v>31750434442</v>
      </c>
      <c r="AA28" s="82">
        <f t="shared" si="11"/>
        <v>3337302281</v>
      </c>
      <c r="AB28" s="82">
        <f t="shared" si="12"/>
        <v>35087736723</v>
      </c>
      <c r="AC28" s="44">
        <f t="shared" si="13"/>
        <v>0.7010399946016159</v>
      </c>
      <c r="AD28" s="81">
        <f>SUM(AD9:AD27)</f>
        <v>8607991496</v>
      </c>
      <c r="AE28" s="82">
        <f>SUM(AE9:AE27)</f>
        <v>1208139937</v>
      </c>
      <c r="AF28" s="82">
        <f t="shared" si="14"/>
        <v>9816131433</v>
      </c>
      <c r="AG28" s="44">
        <f>IF(2786847700=0,0,2037377184/2786847700)</f>
        <v>0.7310687211217176</v>
      </c>
      <c r="AH28" s="44">
        <f t="shared" si="15"/>
        <v>0.16626802454102796</v>
      </c>
      <c r="AI28" s="12">
        <f>SUM(AI9:AI27)</f>
        <v>44858967728</v>
      </c>
      <c r="AJ28" s="12">
        <f>SUM(AJ9:AJ27)</f>
        <v>46265732678</v>
      </c>
      <c r="AK28" s="12">
        <f>SUM(AK9:AK27)</f>
        <v>31504232735</v>
      </c>
      <c r="AL28" s="12"/>
    </row>
    <row r="29" spans="1:38" s="13" customFormat="1" ht="12.75" customHeight="1">
      <c r="A29" s="45"/>
      <c r="B29" s="46"/>
      <c r="C29" s="66"/>
      <c r="D29" s="84"/>
      <c r="E29" s="85"/>
      <c r="F29" s="86"/>
      <c r="G29" s="84"/>
      <c r="H29" s="85"/>
      <c r="I29" s="86"/>
      <c r="J29" s="87"/>
      <c r="K29" s="85"/>
      <c r="L29" s="86"/>
      <c r="M29" s="47"/>
      <c r="N29" s="87"/>
      <c r="O29" s="86"/>
      <c r="P29" s="85"/>
      <c r="Q29" s="47"/>
      <c r="R29" s="87"/>
      <c r="S29" s="85"/>
      <c r="T29" s="85"/>
      <c r="U29" s="47"/>
      <c r="V29" s="87"/>
      <c r="W29" s="85"/>
      <c r="X29" s="85"/>
      <c r="Y29" s="47"/>
      <c r="Z29" s="87"/>
      <c r="AA29" s="85"/>
      <c r="AB29" s="86"/>
      <c r="AC29" s="47"/>
      <c r="AD29" s="87"/>
      <c r="AE29" s="85"/>
      <c r="AF29" s="85"/>
      <c r="AG29" s="47"/>
      <c r="AH29" s="47"/>
      <c r="AI29" s="12"/>
      <c r="AJ29" s="12"/>
      <c r="AK29" s="12"/>
      <c r="AL29" s="12"/>
    </row>
    <row r="30" spans="1:38" s="13" customFormat="1" ht="12.75">
      <c r="A30" s="12"/>
      <c r="B30" s="48"/>
      <c r="C30" s="134"/>
      <c r="D30" s="88"/>
      <c r="E30" s="88"/>
      <c r="F30" s="88"/>
      <c r="G30" s="88"/>
      <c r="H30" s="88"/>
      <c r="I30" s="88"/>
      <c r="J30" s="88"/>
      <c r="K30" s="88"/>
      <c r="L30" s="88"/>
      <c r="M30" s="12"/>
      <c r="N30" s="88"/>
      <c r="O30" s="88"/>
      <c r="P30" s="88"/>
      <c r="Q30" s="12"/>
      <c r="R30" s="88"/>
      <c r="S30" s="88"/>
      <c r="T30" s="88"/>
      <c r="U30" s="12"/>
      <c r="V30" s="88"/>
      <c r="W30" s="88"/>
      <c r="X30" s="88"/>
      <c r="Y30" s="12"/>
      <c r="Z30" s="88"/>
      <c r="AA30" s="88"/>
      <c r="AB30" s="88"/>
      <c r="AC30" s="12"/>
      <c r="AD30" s="88"/>
      <c r="AE30" s="88"/>
      <c r="AF30" s="88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130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0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0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0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0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0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0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0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0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0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0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0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0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0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0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0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0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0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0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0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0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0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0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0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0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0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0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0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0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0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0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0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0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0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0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0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0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0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0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0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0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0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0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0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0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0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0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0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0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0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0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3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3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3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3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3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3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2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0" t="s">
        <v>40</v>
      </c>
      <c r="C9" s="39" t="s">
        <v>41</v>
      </c>
      <c r="D9" s="77">
        <v>5719607491</v>
      </c>
      <c r="E9" s="78">
        <v>1275354230</v>
      </c>
      <c r="F9" s="79">
        <f>$D9+$E9</f>
        <v>6994961721</v>
      </c>
      <c r="G9" s="77">
        <v>5910447969</v>
      </c>
      <c r="H9" s="78">
        <v>1380149467</v>
      </c>
      <c r="I9" s="80">
        <f>$G9+$H9</f>
        <v>7290597436</v>
      </c>
      <c r="J9" s="77">
        <v>1484411980</v>
      </c>
      <c r="K9" s="78">
        <v>99583134</v>
      </c>
      <c r="L9" s="78">
        <f>$J9+$K9</f>
        <v>1583995114</v>
      </c>
      <c r="M9" s="40">
        <f>IF($F9=0,0,$L9/$F9)</f>
        <v>0.2264480031741406</v>
      </c>
      <c r="N9" s="105">
        <v>1486966220</v>
      </c>
      <c r="O9" s="106">
        <v>298378641</v>
      </c>
      <c r="P9" s="107">
        <f>$N9+$O9</f>
        <v>1785344861</v>
      </c>
      <c r="Q9" s="40">
        <f>IF($F9=0,0,$P9/$F9)</f>
        <v>0.2552329708453025</v>
      </c>
      <c r="R9" s="105">
        <v>1375651275</v>
      </c>
      <c r="S9" s="107">
        <v>229470444</v>
      </c>
      <c r="T9" s="107">
        <f>$R9+$S9</f>
        <v>1605121719</v>
      </c>
      <c r="U9" s="40">
        <f>IF($I9=0,0,$T9/$I9)</f>
        <v>0.22016326276281867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4347029475</v>
      </c>
      <c r="AA9" s="78">
        <f>$K9+$O9+$S9</f>
        <v>627432219</v>
      </c>
      <c r="AB9" s="78">
        <f>$Z9+$AA9</f>
        <v>4974461694</v>
      </c>
      <c r="AC9" s="40">
        <f>IF($I9=0,0,$AB9/$I9)</f>
        <v>0.6823119418769126</v>
      </c>
      <c r="AD9" s="77">
        <v>1224154626</v>
      </c>
      <c r="AE9" s="78">
        <v>181562771</v>
      </c>
      <c r="AF9" s="78">
        <f>$AD9+$AE9</f>
        <v>1405717397</v>
      </c>
      <c r="AG9" s="40">
        <f>IF(6040502650=0,0,4418272537/6040502650)</f>
        <v>0.7314412049798538</v>
      </c>
      <c r="AH9" s="40">
        <f>IF($AF9=0,0,(($T9/$AF9)-1))</f>
        <v>0.14185235412577035</v>
      </c>
      <c r="AI9" s="12">
        <v>5703347870</v>
      </c>
      <c r="AJ9" s="12">
        <v>6040502650</v>
      </c>
      <c r="AK9" s="12">
        <v>4418272537</v>
      </c>
      <c r="AL9" s="12"/>
    </row>
    <row r="10" spans="1:38" s="13" customFormat="1" ht="12.75">
      <c r="A10" s="29" t="s">
        <v>94</v>
      </c>
      <c r="B10" s="60" t="s">
        <v>52</v>
      </c>
      <c r="C10" s="39" t="s">
        <v>53</v>
      </c>
      <c r="D10" s="77">
        <v>8885456270</v>
      </c>
      <c r="E10" s="78">
        <v>1612510043</v>
      </c>
      <c r="F10" s="79">
        <f aca="true" t="shared" si="0" ref="F10:F41">$D10+$E10</f>
        <v>10497966313</v>
      </c>
      <c r="G10" s="77">
        <v>9388921300</v>
      </c>
      <c r="H10" s="78">
        <v>1573441238</v>
      </c>
      <c r="I10" s="80">
        <f aca="true" t="shared" si="1" ref="I10:I41">$G10+$H10</f>
        <v>10962362538</v>
      </c>
      <c r="J10" s="77">
        <v>2118186617</v>
      </c>
      <c r="K10" s="78">
        <v>178262691</v>
      </c>
      <c r="L10" s="78">
        <f aca="true" t="shared" si="2" ref="L10:L41">$J10+$K10</f>
        <v>2296449308</v>
      </c>
      <c r="M10" s="40">
        <f aca="true" t="shared" si="3" ref="M10:M41">IF($F10=0,0,$L10/$F10)</f>
        <v>0.21875182673773932</v>
      </c>
      <c r="N10" s="105">
        <v>2166338193</v>
      </c>
      <c r="O10" s="106">
        <v>341700783</v>
      </c>
      <c r="P10" s="107">
        <f aca="true" t="shared" si="4" ref="P10:P41">$N10+$O10</f>
        <v>2508038976</v>
      </c>
      <c r="Q10" s="40">
        <f aca="true" t="shared" si="5" ref="Q10:Q41">IF($F10=0,0,$P10/$F10)</f>
        <v>0.23890712745898293</v>
      </c>
      <c r="R10" s="105">
        <v>2387162554</v>
      </c>
      <c r="S10" s="107">
        <v>257016415</v>
      </c>
      <c r="T10" s="107">
        <f aca="true" t="shared" si="6" ref="T10:T41">$R10+$S10</f>
        <v>2644178969</v>
      </c>
      <c r="U10" s="40">
        <f aca="true" t="shared" si="7" ref="U10:U41">IF($I10=0,0,$T10/$I10)</f>
        <v>0.24120521099664438</v>
      </c>
      <c r="V10" s="105">
        <v>0</v>
      </c>
      <c r="W10" s="107">
        <v>0</v>
      </c>
      <c r="X10" s="107">
        <f aca="true" t="shared" si="8" ref="X10:X41">$V10+$W10</f>
        <v>0</v>
      </c>
      <c r="Y10" s="40">
        <f aca="true" t="shared" si="9" ref="Y10:Y41">IF($I10=0,0,$X10/$I10)</f>
        <v>0</v>
      </c>
      <c r="Z10" s="77">
        <f aca="true" t="shared" si="10" ref="Z10:Z41">$J10+$N10+$R10</f>
        <v>6671687364</v>
      </c>
      <c r="AA10" s="78">
        <f aca="true" t="shared" si="11" ref="AA10:AA41">$K10+$O10+$S10</f>
        <v>776979889</v>
      </c>
      <c r="AB10" s="78">
        <f aca="true" t="shared" si="12" ref="AB10:AB41">$Z10+$AA10</f>
        <v>7448667253</v>
      </c>
      <c r="AC10" s="40">
        <f aca="true" t="shared" si="13" ref="AC10:AC41">IF($I10=0,0,$AB10/$I10)</f>
        <v>0.6794764565740181</v>
      </c>
      <c r="AD10" s="77">
        <v>2043601614</v>
      </c>
      <c r="AE10" s="78">
        <v>290938560</v>
      </c>
      <c r="AF10" s="78">
        <f aca="true" t="shared" si="14" ref="AF10:AF41">$AD10+$AE10</f>
        <v>2334540174</v>
      </c>
      <c r="AG10" s="40">
        <f>IF(9851386241=0,0,6875242752/9851386241)</f>
        <v>0.6978959695424656</v>
      </c>
      <c r="AH10" s="40">
        <f aca="true" t="shared" si="15" ref="AH10:AH41">IF($AF10=0,0,(($T10/$AF10)-1))</f>
        <v>0.13263374023222108</v>
      </c>
      <c r="AI10" s="12">
        <v>9511818178</v>
      </c>
      <c r="AJ10" s="12">
        <v>9851386241</v>
      </c>
      <c r="AK10" s="12">
        <v>6875242752</v>
      </c>
      <c r="AL10" s="12"/>
    </row>
    <row r="11" spans="1:38" s="56" customFormat="1" ht="12.75">
      <c r="A11" s="61"/>
      <c r="B11" s="62" t="s">
        <v>95</v>
      </c>
      <c r="C11" s="32"/>
      <c r="D11" s="81">
        <f>SUM(D9:D10)</f>
        <v>14605063761</v>
      </c>
      <c r="E11" s="82">
        <f>SUM(E9:E10)</f>
        <v>2887864273</v>
      </c>
      <c r="F11" s="83">
        <f t="shared" si="0"/>
        <v>17492928034</v>
      </c>
      <c r="G11" s="81">
        <f>SUM(G9:G10)</f>
        <v>15299369269</v>
      </c>
      <c r="H11" s="82">
        <f>SUM(H9:H10)</f>
        <v>2953590705</v>
      </c>
      <c r="I11" s="83">
        <f t="shared" si="1"/>
        <v>18252959974</v>
      </c>
      <c r="J11" s="81">
        <f>SUM(J9:J10)</f>
        <v>3602598597</v>
      </c>
      <c r="K11" s="82">
        <f>SUM(K9:K10)</f>
        <v>277845825</v>
      </c>
      <c r="L11" s="82">
        <f t="shared" si="2"/>
        <v>3880444422</v>
      </c>
      <c r="M11" s="44">
        <f t="shared" si="3"/>
        <v>0.22182932522547413</v>
      </c>
      <c r="N11" s="111">
        <f>SUM(N9:N10)</f>
        <v>3653304413</v>
      </c>
      <c r="O11" s="112">
        <f>SUM(O9:O10)</f>
        <v>640079424</v>
      </c>
      <c r="P11" s="113">
        <f t="shared" si="4"/>
        <v>4293383837</v>
      </c>
      <c r="Q11" s="44">
        <f t="shared" si="5"/>
        <v>0.2454354027327613</v>
      </c>
      <c r="R11" s="111">
        <f>SUM(R9:R10)</f>
        <v>3762813829</v>
      </c>
      <c r="S11" s="113">
        <f>SUM(S9:S10)</f>
        <v>486486859</v>
      </c>
      <c r="T11" s="113">
        <f t="shared" si="6"/>
        <v>4249300688</v>
      </c>
      <c r="U11" s="44">
        <f t="shared" si="7"/>
        <v>0.2328006358449707</v>
      </c>
      <c r="V11" s="111">
        <f>SUM(V9:V10)</f>
        <v>0</v>
      </c>
      <c r="W11" s="113">
        <f>SUM(W9:W10)</f>
        <v>0</v>
      </c>
      <c r="X11" s="113">
        <f t="shared" si="8"/>
        <v>0</v>
      </c>
      <c r="Y11" s="44">
        <f t="shared" si="9"/>
        <v>0</v>
      </c>
      <c r="Z11" s="81">
        <f t="shared" si="10"/>
        <v>11018716839</v>
      </c>
      <c r="AA11" s="82">
        <f t="shared" si="11"/>
        <v>1404412108</v>
      </c>
      <c r="AB11" s="82">
        <f t="shared" si="12"/>
        <v>12423128947</v>
      </c>
      <c r="AC11" s="44">
        <f t="shared" si="13"/>
        <v>0.68060900613905</v>
      </c>
      <c r="AD11" s="81">
        <f>SUM(AD9:AD10)</f>
        <v>3267756240</v>
      </c>
      <c r="AE11" s="82">
        <f>SUM(AE9:AE10)</f>
        <v>472501331</v>
      </c>
      <c r="AF11" s="82">
        <f t="shared" si="14"/>
        <v>3740257571</v>
      </c>
      <c r="AG11" s="44">
        <f>IF(9851386241=0,0,6875242752/9851386241)</f>
        <v>0.6978959695424656</v>
      </c>
      <c r="AH11" s="44">
        <f t="shared" si="15"/>
        <v>0.13609841229835462</v>
      </c>
      <c r="AI11" s="63">
        <f>SUM(AI9:AI10)</f>
        <v>15215166048</v>
      </c>
      <c r="AJ11" s="63">
        <f>SUM(AJ9:AJ10)</f>
        <v>15891888891</v>
      </c>
      <c r="AK11" s="63">
        <f>SUM(AK9:AK10)</f>
        <v>11293515289</v>
      </c>
      <c r="AL11" s="63"/>
    </row>
    <row r="12" spans="1:38" s="13" customFormat="1" ht="12.75">
      <c r="A12" s="29" t="s">
        <v>96</v>
      </c>
      <c r="B12" s="60" t="s">
        <v>97</v>
      </c>
      <c r="C12" s="39" t="s">
        <v>98</v>
      </c>
      <c r="D12" s="77">
        <v>244505650</v>
      </c>
      <c r="E12" s="78">
        <v>46040952</v>
      </c>
      <c r="F12" s="79">
        <f t="shared" si="0"/>
        <v>290546602</v>
      </c>
      <c r="G12" s="77">
        <v>237552635</v>
      </c>
      <c r="H12" s="78">
        <v>35890952</v>
      </c>
      <c r="I12" s="80">
        <f t="shared" si="1"/>
        <v>273443587</v>
      </c>
      <c r="J12" s="77">
        <v>87652976</v>
      </c>
      <c r="K12" s="78">
        <v>4841203</v>
      </c>
      <c r="L12" s="78">
        <f t="shared" si="2"/>
        <v>92494179</v>
      </c>
      <c r="M12" s="40">
        <f t="shared" si="3"/>
        <v>0.3183454164093098</v>
      </c>
      <c r="N12" s="105">
        <v>50651150</v>
      </c>
      <c r="O12" s="106">
        <v>6821280</v>
      </c>
      <c r="P12" s="107">
        <f t="shared" si="4"/>
        <v>57472430</v>
      </c>
      <c r="Q12" s="40">
        <f t="shared" si="5"/>
        <v>0.19780795784354072</v>
      </c>
      <c r="R12" s="105">
        <v>44508498</v>
      </c>
      <c r="S12" s="107">
        <v>7941463</v>
      </c>
      <c r="T12" s="107">
        <f t="shared" si="6"/>
        <v>52449961</v>
      </c>
      <c r="U12" s="40">
        <f t="shared" si="7"/>
        <v>0.1918127302799023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182812624</v>
      </c>
      <c r="AA12" s="78">
        <f t="shared" si="11"/>
        <v>19603946</v>
      </c>
      <c r="AB12" s="78">
        <f t="shared" si="12"/>
        <v>202416570</v>
      </c>
      <c r="AC12" s="40">
        <f t="shared" si="13"/>
        <v>0.7402498344201431</v>
      </c>
      <c r="AD12" s="77">
        <v>51248029</v>
      </c>
      <c r="AE12" s="78">
        <v>3611324</v>
      </c>
      <c r="AF12" s="78">
        <f t="shared" si="14"/>
        <v>54859353</v>
      </c>
      <c r="AG12" s="40">
        <f>IF(284580486=0,0,196040277/284580486)</f>
        <v>0.6888746300053757</v>
      </c>
      <c r="AH12" s="40">
        <f t="shared" si="15"/>
        <v>-0.04391943886031613</v>
      </c>
      <c r="AI12" s="12">
        <v>270536043</v>
      </c>
      <c r="AJ12" s="12">
        <v>284580486</v>
      </c>
      <c r="AK12" s="12">
        <v>196040277</v>
      </c>
      <c r="AL12" s="12"/>
    </row>
    <row r="13" spans="1:38" s="13" customFormat="1" ht="12.75">
      <c r="A13" s="29" t="s">
        <v>96</v>
      </c>
      <c r="B13" s="60" t="s">
        <v>99</v>
      </c>
      <c r="C13" s="39" t="s">
        <v>100</v>
      </c>
      <c r="D13" s="77">
        <v>181868330</v>
      </c>
      <c r="E13" s="78">
        <v>25342900</v>
      </c>
      <c r="F13" s="79">
        <f t="shared" si="0"/>
        <v>207211230</v>
      </c>
      <c r="G13" s="77">
        <v>174304790</v>
      </c>
      <c r="H13" s="78">
        <v>20010500</v>
      </c>
      <c r="I13" s="80">
        <f t="shared" si="1"/>
        <v>194315290</v>
      </c>
      <c r="J13" s="77">
        <v>58306242</v>
      </c>
      <c r="K13" s="78">
        <v>9851823</v>
      </c>
      <c r="L13" s="78">
        <f t="shared" si="2"/>
        <v>68158065</v>
      </c>
      <c r="M13" s="40">
        <f t="shared" si="3"/>
        <v>0.3289303625097925</v>
      </c>
      <c r="N13" s="105">
        <v>45474147</v>
      </c>
      <c r="O13" s="106">
        <v>1282244</v>
      </c>
      <c r="P13" s="107">
        <f t="shared" si="4"/>
        <v>46756391</v>
      </c>
      <c r="Q13" s="40">
        <f t="shared" si="5"/>
        <v>0.22564602796865788</v>
      </c>
      <c r="R13" s="105">
        <v>44898238</v>
      </c>
      <c r="S13" s="107">
        <v>4068768</v>
      </c>
      <c r="T13" s="107">
        <f t="shared" si="6"/>
        <v>48967006</v>
      </c>
      <c r="U13" s="40">
        <f t="shared" si="7"/>
        <v>0.25199769920318676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148678627</v>
      </c>
      <c r="AA13" s="78">
        <f t="shared" si="11"/>
        <v>15202835</v>
      </c>
      <c r="AB13" s="78">
        <f t="shared" si="12"/>
        <v>163881462</v>
      </c>
      <c r="AC13" s="40">
        <f t="shared" si="13"/>
        <v>0.843379139130019</v>
      </c>
      <c r="AD13" s="77">
        <v>43512439</v>
      </c>
      <c r="AE13" s="78">
        <v>3782244</v>
      </c>
      <c r="AF13" s="78">
        <f t="shared" si="14"/>
        <v>47294683</v>
      </c>
      <c r="AG13" s="40">
        <f>IF(217911380=0,0,166130671/217911380)</f>
        <v>0.7623772149944624</v>
      </c>
      <c r="AH13" s="40">
        <f t="shared" si="15"/>
        <v>0.03535964074439413</v>
      </c>
      <c r="AI13" s="12">
        <v>212981070</v>
      </c>
      <c r="AJ13" s="12">
        <v>217911380</v>
      </c>
      <c r="AK13" s="12">
        <v>166130671</v>
      </c>
      <c r="AL13" s="12"/>
    </row>
    <row r="14" spans="1:38" s="13" customFormat="1" ht="12.75">
      <c r="A14" s="29" t="s">
        <v>96</v>
      </c>
      <c r="B14" s="60" t="s">
        <v>101</v>
      </c>
      <c r="C14" s="39" t="s">
        <v>102</v>
      </c>
      <c r="D14" s="77">
        <v>48691168</v>
      </c>
      <c r="E14" s="78">
        <v>16072749</v>
      </c>
      <c r="F14" s="79">
        <f t="shared" si="0"/>
        <v>64763917</v>
      </c>
      <c r="G14" s="77">
        <v>47010162</v>
      </c>
      <c r="H14" s="78">
        <v>16004447</v>
      </c>
      <c r="I14" s="80">
        <f t="shared" si="1"/>
        <v>63014609</v>
      </c>
      <c r="J14" s="77">
        <v>12005036</v>
      </c>
      <c r="K14" s="78">
        <v>3950421</v>
      </c>
      <c r="L14" s="78">
        <f t="shared" si="2"/>
        <v>15955457</v>
      </c>
      <c r="M14" s="40">
        <f t="shared" si="3"/>
        <v>0.24636337236983366</v>
      </c>
      <c r="N14" s="105">
        <v>1813277</v>
      </c>
      <c r="O14" s="106">
        <v>1993112</v>
      </c>
      <c r="P14" s="107">
        <f t="shared" si="4"/>
        <v>3806389</v>
      </c>
      <c r="Q14" s="40">
        <f t="shared" si="5"/>
        <v>0.05877329810054571</v>
      </c>
      <c r="R14" s="105">
        <v>0</v>
      </c>
      <c r="S14" s="107">
        <v>2457786</v>
      </c>
      <c r="T14" s="107">
        <f t="shared" si="6"/>
        <v>2457786</v>
      </c>
      <c r="U14" s="40">
        <f t="shared" si="7"/>
        <v>0.039003431728029926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13818313</v>
      </c>
      <c r="AA14" s="78">
        <f t="shared" si="11"/>
        <v>8401319</v>
      </c>
      <c r="AB14" s="78">
        <f t="shared" si="12"/>
        <v>22219632</v>
      </c>
      <c r="AC14" s="40">
        <f t="shared" si="13"/>
        <v>0.35261080490081276</v>
      </c>
      <c r="AD14" s="77">
        <v>7760148</v>
      </c>
      <c r="AE14" s="78">
        <v>5062670</v>
      </c>
      <c r="AF14" s="78">
        <f t="shared" si="14"/>
        <v>12822818</v>
      </c>
      <c r="AG14" s="40">
        <f>IF(67096734=0,0,38844906/67096734)</f>
        <v>0.5789388496912532</v>
      </c>
      <c r="AH14" s="40">
        <f t="shared" si="15"/>
        <v>-0.8083271555441245</v>
      </c>
      <c r="AI14" s="12">
        <v>52001385</v>
      </c>
      <c r="AJ14" s="12">
        <v>67096734</v>
      </c>
      <c r="AK14" s="12">
        <v>38844906</v>
      </c>
      <c r="AL14" s="12"/>
    </row>
    <row r="15" spans="1:38" s="13" customFormat="1" ht="12.75">
      <c r="A15" s="29" t="s">
        <v>96</v>
      </c>
      <c r="B15" s="60" t="s">
        <v>103</v>
      </c>
      <c r="C15" s="39" t="s">
        <v>104</v>
      </c>
      <c r="D15" s="77">
        <v>427637040</v>
      </c>
      <c r="E15" s="78">
        <v>191855298</v>
      </c>
      <c r="F15" s="79">
        <f t="shared" si="0"/>
        <v>619492338</v>
      </c>
      <c r="G15" s="77">
        <v>440053000</v>
      </c>
      <c r="H15" s="78">
        <v>85078000</v>
      </c>
      <c r="I15" s="80">
        <f t="shared" si="1"/>
        <v>525131000</v>
      </c>
      <c r="J15" s="77">
        <v>122454875</v>
      </c>
      <c r="K15" s="78">
        <v>6832668</v>
      </c>
      <c r="L15" s="78">
        <f t="shared" si="2"/>
        <v>129287543</v>
      </c>
      <c r="M15" s="40">
        <f t="shared" si="3"/>
        <v>0.2086991800696008</v>
      </c>
      <c r="N15" s="105">
        <v>97603200</v>
      </c>
      <c r="O15" s="106">
        <v>12429384</v>
      </c>
      <c r="P15" s="107">
        <f t="shared" si="4"/>
        <v>110032584</v>
      </c>
      <c r="Q15" s="40">
        <f t="shared" si="5"/>
        <v>0.17761734447795544</v>
      </c>
      <c r="R15" s="105">
        <v>55668027</v>
      </c>
      <c r="S15" s="107">
        <v>7288286</v>
      </c>
      <c r="T15" s="107">
        <f t="shared" si="6"/>
        <v>62956313</v>
      </c>
      <c r="U15" s="40">
        <f t="shared" si="7"/>
        <v>0.11988687203764394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275726102</v>
      </c>
      <c r="AA15" s="78">
        <f t="shared" si="11"/>
        <v>26550338</v>
      </c>
      <c r="AB15" s="78">
        <f t="shared" si="12"/>
        <v>302276440</v>
      </c>
      <c r="AC15" s="40">
        <f t="shared" si="13"/>
        <v>0.575621016470176</v>
      </c>
      <c r="AD15" s="77">
        <v>86574772</v>
      </c>
      <c r="AE15" s="78">
        <v>2457481</v>
      </c>
      <c r="AF15" s="78">
        <f t="shared" si="14"/>
        <v>89032253</v>
      </c>
      <c r="AG15" s="40">
        <f>IF(508565378=0,0,302708896/508565378)</f>
        <v>0.5952212028086583</v>
      </c>
      <c r="AH15" s="40">
        <f t="shared" si="15"/>
        <v>-0.2928819514429226</v>
      </c>
      <c r="AI15" s="12">
        <v>380389061</v>
      </c>
      <c r="AJ15" s="12">
        <v>508565378</v>
      </c>
      <c r="AK15" s="12">
        <v>302708896</v>
      </c>
      <c r="AL15" s="12"/>
    </row>
    <row r="16" spans="1:38" s="13" customFormat="1" ht="12.75">
      <c r="A16" s="29" t="s">
        <v>96</v>
      </c>
      <c r="B16" s="60" t="s">
        <v>105</v>
      </c>
      <c r="C16" s="39" t="s">
        <v>106</v>
      </c>
      <c r="D16" s="77">
        <v>390009095</v>
      </c>
      <c r="E16" s="78">
        <v>36736956</v>
      </c>
      <c r="F16" s="79">
        <f t="shared" si="0"/>
        <v>426746051</v>
      </c>
      <c r="G16" s="77">
        <v>334614990</v>
      </c>
      <c r="H16" s="78">
        <v>31642456</v>
      </c>
      <c r="I16" s="80">
        <f t="shared" si="1"/>
        <v>366257446</v>
      </c>
      <c r="J16" s="77">
        <v>91985738</v>
      </c>
      <c r="K16" s="78">
        <v>5623454</v>
      </c>
      <c r="L16" s="78">
        <f t="shared" si="2"/>
        <v>97609192</v>
      </c>
      <c r="M16" s="40">
        <f t="shared" si="3"/>
        <v>0.2287289871136968</v>
      </c>
      <c r="N16" s="105">
        <v>81851517</v>
      </c>
      <c r="O16" s="106">
        <v>13537093</v>
      </c>
      <c r="P16" s="107">
        <f t="shared" si="4"/>
        <v>95388610</v>
      </c>
      <c r="Q16" s="40">
        <f t="shared" si="5"/>
        <v>0.22352546620284952</v>
      </c>
      <c r="R16" s="105">
        <v>66059822</v>
      </c>
      <c r="S16" s="107">
        <v>6325435</v>
      </c>
      <c r="T16" s="107">
        <f t="shared" si="6"/>
        <v>72385257</v>
      </c>
      <c r="U16" s="40">
        <f t="shared" si="7"/>
        <v>0.19763490897056055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239897077</v>
      </c>
      <c r="AA16" s="78">
        <f t="shared" si="11"/>
        <v>25485982</v>
      </c>
      <c r="AB16" s="78">
        <f t="shared" si="12"/>
        <v>265383059</v>
      </c>
      <c r="AC16" s="40">
        <f t="shared" si="13"/>
        <v>0.7245806519384728</v>
      </c>
      <c r="AD16" s="77">
        <v>76788604</v>
      </c>
      <c r="AE16" s="78">
        <v>9142236</v>
      </c>
      <c r="AF16" s="78">
        <f t="shared" si="14"/>
        <v>85930840</v>
      </c>
      <c r="AG16" s="40">
        <f>IF(244407835=0,0,263655835/244407835)</f>
        <v>1.0787536127882316</v>
      </c>
      <c r="AH16" s="40">
        <f t="shared" si="15"/>
        <v>-0.15763354576773603</v>
      </c>
      <c r="AI16" s="12">
        <v>244407835</v>
      </c>
      <c r="AJ16" s="12">
        <v>244407835</v>
      </c>
      <c r="AK16" s="12">
        <v>263655835</v>
      </c>
      <c r="AL16" s="12"/>
    </row>
    <row r="17" spans="1:38" s="13" customFormat="1" ht="12.75">
      <c r="A17" s="29" t="s">
        <v>96</v>
      </c>
      <c r="B17" s="60" t="s">
        <v>107</v>
      </c>
      <c r="C17" s="39" t="s">
        <v>108</v>
      </c>
      <c r="D17" s="77">
        <v>142361796</v>
      </c>
      <c r="E17" s="78">
        <v>45064826</v>
      </c>
      <c r="F17" s="79">
        <f t="shared" si="0"/>
        <v>187426622</v>
      </c>
      <c r="G17" s="77">
        <v>135976580</v>
      </c>
      <c r="H17" s="78">
        <v>33847850</v>
      </c>
      <c r="I17" s="80">
        <f t="shared" si="1"/>
        <v>169824430</v>
      </c>
      <c r="J17" s="77">
        <v>25947083</v>
      </c>
      <c r="K17" s="78">
        <v>11626323</v>
      </c>
      <c r="L17" s="78">
        <f t="shared" si="2"/>
        <v>37573406</v>
      </c>
      <c r="M17" s="40">
        <f t="shared" si="3"/>
        <v>0.20046995244891092</v>
      </c>
      <c r="N17" s="105">
        <v>9216852</v>
      </c>
      <c r="O17" s="106">
        <v>2987996</v>
      </c>
      <c r="P17" s="107">
        <f t="shared" si="4"/>
        <v>12204848</v>
      </c>
      <c r="Q17" s="40">
        <f t="shared" si="5"/>
        <v>0.06511800655512001</v>
      </c>
      <c r="R17" s="105">
        <v>38566176</v>
      </c>
      <c r="S17" s="107">
        <v>5233764</v>
      </c>
      <c r="T17" s="107">
        <f t="shared" si="6"/>
        <v>43799940</v>
      </c>
      <c r="U17" s="40">
        <f t="shared" si="7"/>
        <v>0.2579130693976126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73730111</v>
      </c>
      <c r="AA17" s="78">
        <f t="shared" si="11"/>
        <v>19848083</v>
      </c>
      <c r="AB17" s="78">
        <f t="shared" si="12"/>
        <v>93578194</v>
      </c>
      <c r="AC17" s="40">
        <f t="shared" si="13"/>
        <v>0.5510290480586333</v>
      </c>
      <c r="AD17" s="77">
        <v>22455584</v>
      </c>
      <c r="AE17" s="78">
        <v>2631245</v>
      </c>
      <c r="AF17" s="78">
        <f t="shared" si="14"/>
        <v>25086829</v>
      </c>
      <c r="AG17" s="40">
        <f>IF(153714296=0,0,86560477/153714296)</f>
        <v>0.5631257420585005</v>
      </c>
      <c r="AH17" s="40">
        <f t="shared" si="15"/>
        <v>0.7459336929350457</v>
      </c>
      <c r="AI17" s="12">
        <v>135982609</v>
      </c>
      <c r="AJ17" s="12">
        <v>153714296</v>
      </c>
      <c r="AK17" s="12">
        <v>86560477</v>
      </c>
      <c r="AL17" s="12"/>
    </row>
    <row r="18" spans="1:38" s="13" customFormat="1" ht="12.75">
      <c r="A18" s="29" t="s">
        <v>96</v>
      </c>
      <c r="B18" s="60" t="s">
        <v>109</v>
      </c>
      <c r="C18" s="39" t="s">
        <v>110</v>
      </c>
      <c r="D18" s="77">
        <v>58774547</v>
      </c>
      <c r="E18" s="78">
        <v>31449000</v>
      </c>
      <c r="F18" s="79">
        <f t="shared" si="0"/>
        <v>90223547</v>
      </c>
      <c r="G18" s="77">
        <v>46874734</v>
      </c>
      <c r="H18" s="78">
        <v>34256667</v>
      </c>
      <c r="I18" s="80">
        <f t="shared" si="1"/>
        <v>81131401</v>
      </c>
      <c r="J18" s="77">
        <v>22657119</v>
      </c>
      <c r="K18" s="78">
        <v>9653790</v>
      </c>
      <c r="L18" s="78">
        <f t="shared" si="2"/>
        <v>32310909</v>
      </c>
      <c r="M18" s="40">
        <f t="shared" si="3"/>
        <v>0.3581205802072933</v>
      </c>
      <c r="N18" s="105">
        <v>13333772</v>
      </c>
      <c r="O18" s="106">
        <v>8000142</v>
      </c>
      <c r="P18" s="107">
        <f t="shared" si="4"/>
        <v>21333914</v>
      </c>
      <c r="Q18" s="40">
        <f t="shared" si="5"/>
        <v>0.23645616592750449</v>
      </c>
      <c r="R18" s="105">
        <v>14296565</v>
      </c>
      <c r="S18" s="107">
        <v>10965515</v>
      </c>
      <c r="T18" s="107">
        <f t="shared" si="6"/>
        <v>25262080</v>
      </c>
      <c r="U18" s="40">
        <f t="shared" si="7"/>
        <v>0.31137241177432645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50287456</v>
      </c>
      <c r="AA18" s="78">
        <f t="shared" si="11"/>
        <v>28619447</v>
      </c>
      <c r="AB18" s="78">
        <f t="shared" si="12"/>
        <v>78906903</v>
      </c>
      <c r="AC18" s="40">
        <f t="shared" si="13"/>
        <v>0.9725815409005448</v>
      </c>
      <c r="AD18" s="77">
        <v>10740117</v>
      </c>
      <c r="AE18" s="78">
        <v>14230085</v>
      </c>
      <c r="AF18" s="78">
        <f t="shared" si="14"/>
        <v>24970202</v>
      </c>
      <c r="AG18" s="40">
        <f>IF(96310248=0,0,66612256/96310248)</f>
        <v>0.6916424511750816</v>
      </c>
      <c r="AH18" s="40">
        <f t="shared" si="15"/>
        <v>0.011689052415355006</v>
      </c>
      <c r="AI18" s="12">
        <v>93129107</v>
      </c>
      <c r="AJ18" s="12">
        <v>96310248</v>
      </c>
      <c r="AK18" s="12">
        <v>66612256</v>
      </c>
      <c r="AL18" s="12"/>
    </row>
    <row r="19" spans="1:38" s="13" customFormat="1" ht="12.75">
      <c r="A19" s="29" t="s">
        <v>96</v>
      </c>
      <c r="B19" s="60" t="s">
        <v>111</v>
      </c>
      <c r="C19" s="39" t="s">
        <v>112</v>
      </c>
      <c r="D19" s="77">
        <v>638740608</v>
      </c>
      <c r="E19" s="78">
        <v>63570000</v>
      </c>
      <c r="F19" s="79">
        <f t="shared" si="0"/>
        <v>702310608</v>
      </c>
      <c r="G19" s="77">
        <v>589622977</v>
      </c>
      <c r="H19" s="78">
        <v>104506300</v>
      </c>
      <c r="I19" s="80">
        <f t="shared" si="1"/>
        <v>694129277</v>
      </c>
      <c r="J19" s="77">
        <v>215150653</v>
      </c>
      <c r="K19" s="78">
        <v>2323579</v>
      </c>
      <c r="L19" s="78">
        <f t="shared" si="2"/>
        <v>217474232</v>
      </c>
      <c r="M19" s="40">
        <f t="shared" si="3"/>
        <v>0.3096553426970307</v>
      </c>
      <c r="N19" s="105">
        <v>132911134</v>
      </c>
      <c r="O19" s="106">
        <v>18459687</v>
      </c>
      <c r="P19" s="107">
        <f t="shared" si="4"/>
        <v>151370821</v>
      </c>
      <c r="Q19" s="40">
        <f t="shared" si="5"/>
        <v>0.215532585263186</v>
      </c>
      <c r="R19" s="105">
        <v>147890906</v>
      </c>
      <c r="S19" s="107">
        <v>45222845</v>
      </c>
      <c r="T19" s="107">
        <f t="shared" si="6"/>
        <v>193113751</v>
      </c>
      <c r="U19" s="40">
        <f t="shared" si="7"/>
        <v>0.2782100646073167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495952693</v>
      </c>
      <c r="AA19" s="78">
        <f t="shared" si="11"/>
        <v>66006111</v>
      </c>
      <c r="AB19" s="78">
        <f t="shared" si="12"/>
        <v>561958804</v>
      </c>
      <c r="AC19" s="40">
        <f t="shared" si="13"/>
        <v>0.8095881021310098</v>
      </c>
      <c r="AD19" s="77">
        <v>133477512</v>
      </c>
      <c r="AE19" s="78">
        <v>9679147</v>
      </c>
      <c r="AF19" s="78">
        <f t="shared" si="14"/>
        <v>143156659</v>
      </c>
      <c r="AG19" s="40">
        <f>IF(669103912=0,0,478551908/669103912)</f>
        <v>0.7152131371786091</v>
      </c>
      <c r="AH19" s="40">
        <f t="shared" si="15"/>
        <v>0.348967993168938</v>
      </c>
      <c r="AI19" s="12">
        <v>655295316</v>
      </c>
      <c r="AJ19" s="12">
        <v>669103912</v>
      </c>
      <c r="AK19" s="12">
        <v>478551908</v>
      </c>
      <c r="AL19" s="12"/>
    </row>
    <row r="20" spans="1:38" s="13" customFormat="1" ht="12.75">
      <c r="A20" s="29" t="s">
        <v>96</v>
      </c>
      <c r="B20" s="60" t="s">
        <v>113</v>
      </c>
      <c r="C20" s="39" t="s">
        <v>114</v>
      </c>
      <c r="D20" s="77">
        <v>107863750</v>
      </c>
      <c r="E20" s="78">
        <v>19280650</v>
      </c>
      <c r="F20" s="79">
        <f t="shared" si="0"/>
        <v>127144400</v>
      </c>
      <c r="G20" s="77">
        <v>111022713</v>
      </c>
      <c r="H20" s="78">
        <v>39334213</v>
      </c>
      <c r="I20" s="80">
        <f t="shared" si="1"/>
        <v>150356926</v>
      </c>
      <c r="J20" s="77">
        <v>80674569</v>
      </c>
      <c r="K20" s="78">
        <v>2898737</v>
      </c>
      <c r="L20" s="78">
        <f t="shared" si="2"/>
        <v>83573306</v>
      </c>
      <c r="M20" s="40">
        <f t="shared" si="3"/>
        <v>0.6573101607306339</v>
      </c>
      <c r="N20" s="105">
        <v>24433003</v>
      </c>
      <c r="O20" s="106">
        <v>3783733</v>
      </c>
      <c r="P20" s="107">
        <f t="shared" si="4"/>
        <v>28216736</v>
      </c>
      <c r="Q20" s="40">
        <f t="shared" si="5"/>
        <v>0.22192669122666825</v>
      </c>
      <c r="R20" s="105">
        <v>33808430</v>
      </c>
      <c r="S20" s="107">
        <v>1553146</v>
      </c>
      <c r="T20" s="107">
        <f t="shared" si="6"/>
        <v>35361576</v>
      </c>
      <c r="U20" s="40">
        <f t="shared" si="7"/>
        <v>0.23518421758635846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138916002</v>
      </c>
      <c r="AA20" s="78">
        <f t="shared" si="11"/>
        <v>8235616</v>
      </c>
      <c r="AB20" s="78">
        <f t="shared" si="12"/>
        <v>147151618</v>
      </c>
      <c r="AC20" s="40">
        <f t="shared" si="13"/>
        <v>0.9786820063081099</v>
      </c>
      <c r="AD20" s="77">
        <v>24513304</v>
      </c>
      <c r="AE20" s="78">
        <v>3497243</v>
      </c>
      <c r="AF20" s="78">
        <f t="shared" si="14"/>
        <v>28010547</v>
      </c>
      <c r="AG20" s="40">
        <f>IF(120302486=0,0,118854135/120302486)</f>
        <v>0.9879607558566994</v>
      </c>
      <c r="AH20" s="40">
        <f t="shared" si="15"/>
        <v>0.26243789526852157</v>
      </c>
      <c r="AI20" s="12">
        <v>113797702</v>
      </c>
      <c r="AJ20" s="12">
        <v>120302486</v>
      </c>
      <c r="AK20" s="12">
        <v>118854135</v>
      </c>
      <c r="AL20" s="12"/>
    </row>
    <row r="21" spans="1:38" s="13" customFormat="1" ht="12.75">
      <c r="A21" s="29" t="s">
        <v>115</v>
      </c>
      <c r="B21" s="60" t="s">
        <v>116</v>
      </c>
      <c r="C21" s="39" t="s">
        <v>117</v>
      </c>
      <c r="D21" s="77">
        <v>145393300</v>
      </c>
      <c r="E21" s="78">
        <v>5467000</v>
      </c>
      <c r="F21" s="79">
        <f t="shared" si="0"/>
        <v>150860300</v>
      </c>
      <c r="G21" s="77">
        <v>172548120</v>
      </c>
      <c r="H21" s="78">
        <v>5938500</v>
      </c>
      <c r="I21" s="80">
        <f t="shared" si="1"/>
        <v>178486620</v>
      </c>
      <c r="J21" s="77">
        <v>44396837</v>
      </c>
      <c r="K21" s="78">
        <v>1422</v>
      </c>
      <c r="L21" s="78">
        <f t="shared" si="2"/>
        <v>44398259</v>
      </c>
      <c r="M21" s="40">
        <f t="shared" si="3"/>
        <v>0.29430048196908</v>
      </c>
      <c r="N21" s="105">
        <v>34295190</v>
      </c>
      <c r="O21" s="106">
        <v>162302</v>
      </c>
      <c r="P21" s="107">
        <f t="shared" si="4"/>
        <v>34457492</v>
      </c>
      <c r="Q21" s="40">
        <f t="shared" si="5"/>
        <v>0.22840662520225666</v>
      </c>
      <c r="R21" s="105">
        <v>26334406</v>
      </c>
      <c r="S21" s="107">
        <v>179439</v>
      </c>
      <c r="T21" s="107">
        <f t="shared" si="6"/>
        <v>26513845</v>
      </c>
      <c r="U21" s="40">
        <f t="shared" si="7"/>
        <v>0.1485480816433187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105026433</v>
      </c>
      <c r="AA21" s="78">
        <f t="shared" si="11"/>
        <v>343163</v>
      </c>
      <c r="AB21" s="78">
        <f t="shared" si="12"/>
        <v>105369596</v>
      </c>
      <c r="AC21" s="40">
        <f t="shared" si="13"/>
        <v>0.5903501113977059</v>
      </c>
      <c r="AD21" s="77">
        <v>24015268</v>
      </c>
      <c r="AE21" s="78">
        <v>270511</v>
      </c>
      <c r="AF21" s="78">
        <f t="shared" si="14"/>
        <v>24285779</v>
      </c>
      <c r="AG21" s="40">
        <f>IF(165193550=0,0,98808744/165193550)</f>
        <v>0.598139237276516</v>
      </c>
      <c r="AH21" s="40">
        <f t="shared" si="15"/>
        <v>0.09174364964780413</v>
      </c>
      <c r="AI21" s="12">
        <v>167439200</v>
      </c>
      <c r="AJ21" s="12">
        <v>165193550</v>
      </c>
      <c r="AK21" s="12">
        <v>98808744</v>
      </c>
      <c r="AL21" s="12"/>
    </row>
    <row r="22" spans="1:38" s="56" customFormat="1" ht="12.75">
      <c r="A22" s="61"/>
      <c r="B22" s="62" t="s">
        <v>118</v>
      </c>
      <c r="C22" s="32"/>
      <c r="D22" s="81">
        <f>SUM(D12:D21)</f>
        <v>2385845284</v>
      </c>
      <c r="E22" s="82">
        <f>SUM(E12:E21)</f>
        <v>480880331</v>
      </c>
      <c r="F22" s="83">
        <f t="shared" si="0"/>
        <v>2866725615</v>
      </c>
      <c r="G22" s="81">
        <f>SUM(G12:G21)</f>
        <v>2289580701</v>
      </c>
      <c r="H22" s="82">
        <f>SUM(H12:H21)</f>
        <v>406509885</v>
      </c>
      <c r="I22" s="83">
        <f t="shared" si="1"/>
        <v>2696090586</v>
      </c>
      <c r="J22" s="81">
        <f>SUM(J12:J21)</f>
        <v>761231128</v>
      </c>
      <c r="K22" s="82">
        <f>SUM(K12:K21)</f>
        <v>57603420</v>
      </c>
      <c r="L22" s="82">
        <f t="shared" si="2"/>
        <v>818834548</v>
      </c>
      <c r="M22" s="44">
        <f t="shared" si="3"/>
        <v>0.28563408500467874</v>
      </c>
      <c r="N22" s="111">
        <f>SUM(N12:N21)</f>
        <v>491583242</v>
      </c>
      <c r="O22" s="112">
        <f>SUM(O12:O21)</f>
        <v>69456973</v>
      </c>
      <c r="P22" s="113">
        <f t="shared" si="4"/>
        <v>561040215</v>
      </c>
      <c r="Q22" s="44">
        <f t="shared" si="5"/>
        <v>0.19570767849716234</v>
      </c>
      <c r="R22" s="111">
        <f>SUM(R12:R21)</f>
        <v>472031068</v>
      </c>
      <c r="S22" s="113">
        <f>SUM(S12:S21)</f>
        <v>91236447</v>
      </c>
      <c r="T22" s="113">
        <f t="shared" si="6"/>
        <v>563267515</v>
      </c>
      <c r="U22" s="44">
        <f t="shared" si="7"/>
        <v>0.20892010006076256</v>
      </c>
      <c r="V22" s="111">
        <f>SUM(V12:V21)</f>
        <v>0</v>
      </c>
      <c r="W22" s="113">
        <f>SUM(W12:W21)</f>
        <v>0</v>
      </c>
      <c r="X22" s="113">
        <f t="shared" si="8"/>
        <v>0</v>
      </c>
      <c r="Y22" s="44">
        <f t="shared" si="9"/>
        <v>0</v>
      </c>
      <c r="Z22" s="81">
        <f t="shared" si="10"/>
        <v>1724845438</v>
      </c>
      <c r="AA22" s="82">
        <f t="shared" si="11"/>
        <v>218296840</v>
      </c>
      <c r="AB22" s="82">
        <f t="shared" si="12"/>
        <v>1943142278</v>
      </c>
      <c r="AC22" s="44">
        <f t="shared" si="13"/>
        <v>0.7207258866190039</v>
      </c>
      <c r="AD22" s="81">
        <f>SUM(AD12:AD21)</f>
        <v>481085777</v>
      </c>
      <c r="AE22" s="82">
        <f>SUM(AE12:AE21)</f>
        <v>54364186</v>
      </c>
      <c r="AF22" s="82">
        <f t="shared" si="14"/>
        <v>535449963</v>
      </c>
      <c r="AG22" s="44">
        <f>IF(165193550=0,0,98808744/165193550)</f>
        <v>0.598139237276516</v>
      </c>
      <c r="AH22" s="44">
        <f t="shared" si="15"/>
        <v>0.051951730175019195</v>
      </c>
      <c r="AI22" s="63">
        <f>SUM(AI12:AI21)</f>
        <v>2325959328</v>
      </c>
      <c r="AJ22" s="63">
        <f>SUM(AJ12:AJ21)</f>
        <v>2527186305</v>
      </c>
      <c r="AK22" s="63">
        <f>SUM(AK12:AK21)</f>
        <v>1816768105</v>
      </c>
      <c r="AL22" s="63"/>
    </row>
    <row r="23" spans="1:38" s="13" customFormat="1" ht="12.75">
      <c r="A23" s="29" t="s">
        <v>96</v>
      </c>
      <c r="B23" s="60" t="s">
        <v>119</v>
      </c>
      <c r="C23" s="39" t="s">
        <v>120</v>
      </c>
      <c r="D23" s="77">
        <v>295453128</v>
      </c>
      <c r="E23" s="78">
        <v>124099011</v>
      </c>
      <c r="F23" s="79">
        <f t="shared" si="0"/>
        <v>419552139</v>
      </c>
      <c r="G23" s="77">
        <v>302057537</v>
      </c>
      <c r="H23" s="78">
        <v>126114911</v>
      </c>
      <c r="I23" s="80">
        <f t="shared" si="1"/>
        <v>428172448</v>
      </c>
      <c r="J23" s="77">
        <v>267106059</v>
      </c>
      <c r="K23" s="78">
        <v>29222537</v>
      </c>
      <c r="L23" s="78">
        <f t="shared" si="2"/>
        <v>296328596</v>
      </c>
      <c r="M23" s="40">
        <f t="shared" si="3"/>
        <v>0.7062974263611131</v>
      </c>
      <c r="N23" s="105">
        <v>71930819</v>
      </c>
      <c r="O23" s="106">
        <v>66316115</v>
      </c>
      <c r="P23" s="107">
        <f t="shared" si="4"/>
        <v>138246934</v>
      </c>
      <c r="Q23" s="40">
        <f t="shared" si="5"/>
        <v>0.3295107357324187</v>
      </c>
      <c r="R23" s="105">
        <v>63798690</v>
      </c>
      <c r="S23" s="107">
        <v>25327242</v>
      </c>
      <c r="T23" s="107">
        <f t="shared" si="6"/>
        <v>89125932</v>
      </c>
      <c r="U23" s="40">
        <f t="shared" si="7"/>
        <v>0.2081542902078557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402835568</v>
      </c>
      <c r="AA23" s="78">
        <f t="shared" si="11"/>
        <v>120865894</v>
      </c>
      <c r="AB23" s="78">
        <f t="shared" si="12"/>
        <v>523701462</v>
      </c>
      <c r="AC23" s="40">
        <f t="shared" si="13"/>
        <v>1.223108736786352</v>
      </c>
      <c r="AD23" s="77">
        <v>60256453</v>
      </c>
      <c r="AE23" s="78">
        <v>6158326</v>
      </c>
      <c r="AF23" s="78">
        <f t="shared" si="14"/>
        <v>66414779</v>
      </c>
      <c r="AG23" s="40">
        <f>IF(303687763=0,0,162478388/303687763)</f>
        <v>0.5350178959960267</v>
      </c>
      <c r="AH23" s="40">
        <f t="shared" si="15"/>
        <v>0.3419593250472157</v>
      </c>
      <c r="AI23" s="12">
        <v>261997668</v>
      </c>
      <c r="AJ23" s="12">
        <v>303687763</v>
      </c>
      <c r="AK23" s="12">
        <v>162478388</v>
      </c>
      <c r="AL23" s="12"/>
    </row>
    <row r="24" spans="1:38" s="13" customFormat="1" ht="12.75">
      <c r="A24" s="29" t="s">
        <v>96</v>
      </c>
      <c r="B24" s="60" t="s">
        <v>121</v>
      </c>
      <c r="C24" s="39" t="s">
        <v>122</v>
      </c>
      <c r="D24" s="77">
        <v>251254348</v>
      </c>
      <c r="E24" s="78">
        <v>107806650</v>
      </c>
      <c r="F24" s="79">
        <f t="shared" si="0"/>
        <v>359060998</v>
      </c>
      <c r="G24" s="77">
        <v>273029506</v>
      </c>
      <c r="H24" s="78">
        <v>105067615</v>
      </c>
      <c r="I24" s="80">
        <f t="shared" si="1"/>
        <v>378097121</v>
      </c>
      <c r="J24" s="77">
        <v>220687594</v>
      </c>
      <c r="K24" s="78">
        <v>180521</v>
      </c>
      <c r="L24" s="78">
        <f t="shared" si="2"/>
        <v>220868115</v>
      </c>
      <c r="M24" s="40">
        <f t="shared" si="3"/>
        <v>0.6151270013458827</v>
      </c>
      <c r="N24" s="105">
        <v>79291531</v>
      </c>
      <c r="O24" s="106">
        <v>13248054</v>
      </c>
      <c r="P24" s="107">
        <f t="shared" si="4"/>
        <v>92539585</v>
      </c>
      <c r="Q24" s="40">
        <f t="shared" si="5"/>
        <v>0.25772664119871913</v>
      </c>
      <c r="R24" s="105">
        <v>84998263</v>
      </c>
      <c r="S24" s="107">
        <v>1741112</v>
      </c>
      <c r="T24" s="107">
        <f t="shared" si="6"/>
        <v>86739375</v>
      </c>
      <c r="U24" s="40">
        <f t="shared" si="7"/>
        <v>0.22941030275657667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384977388</v>
      </c>
      <c r="AA24" s="78">
        <f t="shared" si="11"/>
        <v>15169687</v>
      </c>
      <c r="AB24" s="78">
        <f t="shared" si="12"/>
        <v>400147075</v>
      </c>
      <c r="AC24" s="40">
        <f t="shared" si="13"/>
        <v>1.0583182277127152</v>
      </c>
      <c r="AD24" s="77">
        <v>60047266</v>
      </c>
      <c r="AE24" s="78">
        <v>14306271</v>
      </c>
      <c r="AF24" s="78">
        <f t="shared" si="14"/>
        <v>74353537</v>
      </c>
      <c r="AG24" s="40">
        <f>IF(339200463=0,0,200930296/339200463)</f>
        <v>0.5923644508704576</v>
      </c>
      <c r="AH24" s="40">
        <f t="shared" si="15"/>
        <v>0.1665803470788485</v>
      </c>
      <c r="AI24" s="12">
        <v>298576235</v>
      </c>
      <c r="AJ24" s="12">
        <v>339200463</v>
      </c>
      <c r="AK24" s="12">
        <v>200930296</v>
      </c>
      <c r="AL24" s="12"/>
    </row>
    <row r="25" spans="1:38" s="13" customFormat="1" ht="12.75">
      <c r="A25" s="29" t="s">
        <v>96</v>
      </c>
      <c r="B25" s="60" t="s">
        <v>123</v>
      </c>
      <c r="C25" s="39" t="s">
        <v>124</v>
      </c>
      <c r="D25" s="77">
        <v>92216521</v>
      </c>
      <c r="E25" s="78">
        <v>35152122</v>
      </c>
      <c r="F25" s="79">
        <f t="shared" si="0"/>
        <v>127368643</v>
      </c>
      <c r="G25" s="77">
        <v>96525612</v>
      </c>
      <c r="H25" s="78">
        <v>36149249</v>
      </c>
      <c r="I25" s="80">
        <f t="shared" si="1"/>
        <v>132674861</v>
      </c>
      <c r="J25" s="77">
        <v>25542931</v>
      </c>
      <c r="K25" s="78">
        <v>379188</v>
      </c>
      <c r="L25" s="78">
        <f t="shared" si="2"/>
        <v>25922119</v>
      </c>
      <c r="M25" s="40">
        <f t="shared" si="3"/>
        <v>0.20352041436132753</v>
      </c>
      <c r="N25" s="105">
        <v>25054305</v>
      </c>
      <c r="O25" s="106">
        <v>7772866</v>
      </c>
      <c r="P25" s="107">
        <f t="shared" si="4"/>
        <v>32827171</v>
      </c>
      <c r="Q25" s="40">
        <f t="shared" si="5"/>
        <v>0.2577335380734173</v>
      </c>
      <c r="R25" s="105">
        <v>21418568</v>
      </c>
      <c r="S25" s="107">
        <v>8492344</v>
      </c>
      <c r="T25" s="107">
        <f t="shared" si="6"/>
        <v>29910912</v>
      </c>
      <c r="U25" s="40">
        <f t="shared" si="7"/>
        <v>0.2254452107547337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72015804</v>
      </c>
      <c r="AA25" s="78">
        <f t="shared" si="11"/>
        <v>16644398</v>
      </c>
      <c r="AB25" s="78">
        <f t="shared" si="12"/>
        <v>88660202</v>
      </c>
      <c r="AC25" s="40">
        <f t="shared" si="13"/>
        <v>0.6682517044430897</v>
      </c>
      <c r="AD25" s="77">
        <v>18646816</v>
      </c>
      <c r="AE25" s="78">
        <v>2351456</v>
      </c>
      <c r="AF25" s="78">
        <f t="shared" si="14"/>
        <v>20998272</v>
      </c>
      <c r="AG25" s="40">
        <f>IF(98133203=0,0,71167966/98133203)</f>
        <v>0.7252180080171234</v>
      </c>
      <c r="AH25" s="40">
        <f t="shared" si="15"/>
        <v>0.4244463544428798</v>
      </c>
      <c r="AI25" s="12">
        <v>91065953</v>
      </c>
      <c r="AJ25" s="12">
        <v>98133203</v>
      </c>
      <c r="AK25" s="12">
        <v>71167966</v>
      </c>
      <c r="AL25" s="12"/>
    </row>
    <row r="26" spans="1:38" s="13" customFormat="1" ht="12.75">
      <c r="A26" s="29" t="s">
        <v>96</v>
      </c>
      <c r="B26" s="60" t="s">
        <v>125</v>
      </c>
      <c r="C26" s="39" t="s">
        <v>126</v>
      </c>
      <c r="D26" s="77">
        <v>246391029</v>
      </c>
      <c r="E26" s="78">
        <v>78221650</v>
      </c>
      <c r="F26" s="79">
        <f t="shared" si="0"/>
        <v>324612679</v>
      </c>
      <c r="G26" s="77">
        <v>249427626</v>
      </c>
      <c r="H26" s="78">
        <v>60686595</v>
      </c>
      <c r="I26" s="80">
        <f t="shared" si="1"/>
        <v>310114221</v>
      </c>
      <c r="J26" s="77">
        <v>71508974</v>
      </c>
      <c r="K26" s="78">
        <v>18185338</v>
      </c>
      <c r="L26" s="78">
        <f t="shared" si="2"/>
        <v>89694312</v>
      </c>
      <c r="M26" s="40">
        <f t="shared" si="3"/>
        <v>0.2763117949561052</v>
      </c>
      <c r="N26" s="105">
        <v>52984162</v>
      </c>
      <c r="O26" s="106">
        <v>16929124</v>
      </c>
      <c r="P26" s="107">
        <f t="shared" si="4"/>
        <v>69913286</v>
      </c>
      <c r="Q26" s="40">
        <f t="shared" si="5"/>
        <v>0.21537447710106233</v>
      </c>
      <c r="R26" s="105">
        <v>75580565</v>
      </c>
      <c r="S26" s="107">
        <v>19375665</v>
      </c>
      <c r="T26" s="107">
        <f t="shared" si="6"/>
        <v>94956230</v>
      </c>
      <c r="U26" s="40">
        <f t="shared" si="7"/>
        <v>0.3061975993677504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200073701</v>
      </c>
      <c r="AA26" s="78">
        <f t="shared" si="11"/>
        <v>54490127</v>
      </c>
      <c r="AB26" s="78">
        <f t="shared" si="12"/>
        <v>254563828</v>
      </c>
      <c r="AC26" s="40">
        <f t="shared" si="13"/>
        <v>0.820871184749699</v>
      </c>
      <c r="AD26" s="77">
        <v>44030715</v>
      </c>
      <c r="AE26" s="78">
        <v>5116681</v>
      </c>
      <c r="AF26" s="78">
        <f t="shared" si="14"/>
        <v>49147396</v>
      </c>
      <c r="AG26" s="40">
        <f>IF(281563330=0,0,171239188/281563330)</f>
        <v>0.6081729037655578</v>
      </c>
      <c r="AH26" s="40">
        <f t="shared" si="15"/>
        <v>0.9320704193565006</v>
      </c>
      <c r="AI26" s="12">
        <v>258085255</v>
      </c>
      <c r="AJ26" s="12">
        <v>281563330</v>
      </c>
      <c r="AK26" s="12">
        <v>171239188</v>
      </c>
      <c r="AL26" s="12"/>
    </row>
    <row r="27" spans="1:38" s="13" customFormat="1" ht="12.75">
      <c r="A27" s="29" t="s">
        <v>96</v>
      </c>
      <c r="B27" s="60" t="s">
        <v>127</v>
      </c>
      <c r="C27" s="39" t="s">
        <v>128</v>
      </c>
      <c r="D27" s="77">
        <v>139016882</v>
      </c>
      <c r="E27" s="78">
        <v>31960961</v>
      </c>
      <c r="F27" s="79">
        <f t="shared" si="0"/>
        <v>170977843</v>
      </c>
      <c r="G27" s="77">
        <v>139016882</v>
      </c>
      <c r="H27" s="78">
        <v>31960961</v>
      </c>
      <c r="I27" s="80">
        <f t="shared" si="1"/>
        <v>170977843</v>
      </c>
      <c r="J27" s="77">
        <v>48187767</v>
      </c>
      <c r="K27" s="78">
        <v>2360450</v>
      </c>
      <c r="L27" s="78">
        <f t="shared" si="2"/>
        <v>50548217</v>
      </c>
      <c r="M27" s="40">
        <f t="shared" si="3"/>
        <v>0.29564191542643337</v>
      </c>
      <c r="N27" s="105">
        <v>33019972</v>
      </c>
      <c r="O27" s="106">
        <v>5398636</v>
      </c>
      <c r="P27" s="107">
        <f t="shared" si="4"/>
        <v>38418608</v>
      </c>
      <c r="Q27" s="40">
        <f t="shared" si="5"/>
        <v>0.22469933721178129</v>
      </c>
      <c r="R27" s="105">
        <v>4604189</v>
      </c>
      <c r="S27" s="107">
        <v>8337228</v>
      </c>
      <c r="T27" s="107">
        <f t="shared" si="6"/>
        <v>12941417</v>
      </c>
      <c r="U27" s="40">
        <f t="shared" si="7"/>
        <v>0.07569060863634827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85811928</v>
      </c>
      <c r="AA27" s="78">
        <f t="shared" si="11"/>
        <v>16096314</v>
      </c>
      <c r="AB27" s="78">
        <f t="shared" si="12"/>
        <v>101908242</v>
      </c>
      <c r="AC27" s="40">
        <f t="shared" si="13"/>
        <v>0.596031861274563</v>
      </c>
      <c r="AD27" s="77">
        <v>24106439</v>
      </c>
      <c r="AE27" s="78">
        <v>4105576</v>
      </c>
      <c r="AF27" s="78">
        <f t="shared" si="14"/>
        <v>28212015</v>
      </c>
      <c r="AG27" s="40">
        <f>IF(134947076=0,0,98799820/134947076)</f>
        <v>0.7321375381264281</v>
      </c>
      <c r="AH27" s="40">
        <f t="shared" si="15"/>
        <v>-0.5412799475684384</v>
      </c>
      <c r="AI27" s="12">
        <v>146102891</v>
      </c>
      <c r="AJ27" s="12">
        <v>134947076</v>
      </c>
      <c r="AK27" s="12">
        <v>98799820</v>
      </c>
      <c r="AL27" s="12"/>
    </row>
    <row r="28" spans="1:38" s="13" customFormat="1" ht="12.75">
      <c r="A28" s="29" t="s">
        <v>96</v>
      </c>
      <c r="B28" s="60" t="s">
        <v>129</v>
      </c>
      <c r="C28" s="39" t="s">
        <v>130</v>
      </c>
      <c r="D28" s="77">
        <v>236769950</v>
      </c>
      <c r="E28" s="78">
        <v>56908682</v>
      </c>
      <c r="F28" s="79">
        <f t="shared" si="0"/>
        <v>293678632</v>
      </c>
      <c r="G28" s="77">
        <v>247691261</v>
      </c>
      <c r="H28" s="78">
        <v>56023971</v>
      </c>
      <c r="I28" s="80">
        <f t="shared" si="1"/>
        <v>303715232</v>
      </c>
      <c r="J28" s="77">
        <v>122760240</v>
      </c>
      <c r="K28" s="78">
        <v>13461521</v>
      </c>
      <c r="L28" s="78">
        <f t="shared" si="2"/>
        <v>136221761</v>
      </c>
      <c r="M28" s="40">
        <f t="shared" si="3"/>
        <v>0.4638463482082687</v>
      </c>
      <c r="N28" s="105">
        <v>58526413</v>
      </c>
      <c r="O28" s="106">
        <v>9854537</v>
      </c>
      <c r="P28" s="107">
        <f t="shared" si="4"/>
        <v>68380950</v>
      </c>
      <c r="Q28" s="40">
        <f t="shared" si="5"/>
        <v>0.23284278305954517</v>
      </c>
      <c r="R28" s="105">
        <v>50775628</v>
      </c>
      <c r="S28" s="107">
        <v>11943847</v>
      </c>
      <c r="T28" s="107">
        <f t="shared" si="6"/>
        <v>62719475</v>
      </c>
      <c r="U28" s="40">
        <f t="shared" si="7"/>
        <v>0.20650750568874993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232062281</v>
      </c>
      <c r="AA28" s="78">
        <f t="shared" si="11"/>
        <v>35259905</v>
      </c>
      <c r="AB28" s="78">
        <f t="shared" si="12"/>
        <v>267322186</v>
      </c>
      <c r="AC28" s="40">
        <f t="shared" si="13"/>
        <v>0.8801737872666195</v>
      </c>
      <c r="AD28" s="77">
        <v>55281205</v>
      </c>
      <c r="AE28" s="78">
        <v>8228948</v>
      </c>
      <c r="AF28" s="78">
        <f t="shared" si="14"/>
        <v>63510153</v>
      </c>
      <c r="AG28" s="40">
        <f>IF(252162933=0,0,188224826/252162933)</f>
        <v>0.7464412939708311</v>
      </c>
      <c r="AH28" s="40">
        <f t="shared" si="15"/>
        <v>-0.012449631478607892</v>
      </c>
      <c r="AI28" s="12">
        <v>256953282</v>
      </c>
      <c r="AJ28" s="12">
        <v>252162933</v>
      </c>
      <c r="AK28" s="12">
        <v>188224826</v>
      </c>
      <c r="AL28" s="12"/>
    </row>
    <row r="29" spans="1:38" s="13" customFormat="1" ht="12.75">
      <c r="A29" s="29" t="s">
        <v>96</v>
      </c>
      <c r="B29" s="60" t="s">
        <v>131</v>
      </c>
      <c r="C29" s="39" t="s">
        <v>132</v>
      </c>
      <c r="D29" s="77">
        <v>84849994</v>
      </c>
      <c r="E29" s="78">
        <v>9624111</v>
      </c>
      <c r="F29" s="79">
        <f t="shared" si="0"/>
        <v>94474105</v>
      </c>
      <c r="G29" s="77">
        <v>84849994</v>
      </c>
      <c r="H29" s="78">
        <v>12140679</v>
      </c>
      <c r="I29" s="80">
        <f t="shared" si="1"/>
        <v>96990673</v>
      </c>
      <c r="J29" s="77">
        <v>26250695</v>
      </c>
      <c r="K29" s="78">
        <v>1645140</v>
      </c>
      <c r="L29" s="78">
        <f t="shared" si="2"/>
        <v>27895835</v>
      </c>
      <c r="M29" s="40">
        <f t="shared" si="3"/>
        <v>0.29527493274479816</v>
      </c>
      <c r="N29" s="105">
        <v>15408979</v>
      </c>
      <c r="O29" s="106">
        <v>2680470</v>
      </c>
      <c r="P29" s="107">
        <f t="shared" si="4"/>
        <v>18089449</v>
      </c>
      <c r="Q29" s="40">
        <f t="shared" si="5"/>
        <v>0.19147520900039222</v>
      </c>
      <c r="R29" s="105">
        <v>11982707</v>
      </c>
      <c r="S29" s="107">
        <v>1181406</v>
      </c>
      <c r="T29" s="107">
        <f t="shared" si="6"/>
        <v>13164113</v>
      </c>
      <c r="U29" s="40">
        <f t="shared" si="7"/>
        <v>0.13572555579648365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53642381</v>
      </c>
      <c r="AA29" s="78">
        <f t="shared" si="11"/>
        <v>5507016</v>
      </c>
      <c r="AB29" s="78">
        <f t="shared" si="12"/>
        <v>59149397</v>
      </c>
      <c r="AC29" s="40">
        <f t="shared" si="13"/>
        <v>0.6098462374830619</v>
      </c>
      <c r="AD29" s="77">
        <v>7729150</v>
      </c>
      <c r="AE29" s="78">
        <v>132785</v>
      </c>
      <c r="AF29" s="78">
        <f t="shared" si="14"/>
        <v>7861935</v>
      </c>
      <c r="AG29" s="40">
        <f>IF(76542806=0,0,35154220/76542806)</f>
        <v>0.45927529753743285</v>
      </c>
      <c r="AH29" s="40">
        <f t="shared" si="15"/>
        <v>0.6744113249473571</v>
      </c>
      <c r="AI29" s="12">
        <v>71766858</v>
      </c>
      <c r="AJ29" s="12">
        <v>76542806</v>
      </c>
      <c r="AK29" s="12">
        <v>35154220</v>
      </c>
      <c r="AL29" s="12"/>
    </row>
    <row r="30" spans="1:38" s="13" customFormat="1" ht="12.75">
      <c r="A30" s="29" t="s">
        <v>115</v>
      </c>
      <c r="B30" s="60" t="s">
        <v>133</v>
      </c>
      <c r="C30" s="39" t="s">
        <v>134</v>
      </c>
      <c r="D30" s="77">
        <v>1536709924</v>
      </c>
      <c r="E30" s="78">
        <v>440639742</v>
      </c>
      <c r="F30" s="79">
        <f t="shared" si="0"/>
        <v>1977349666</v>
      </c>
      <c r="G30" s="77">
        <v>148876519</v>
      </c>
      <c r="H30" s="78">
        <v>259561</v>
      </c>
      <c r="I30" s="80">
        <f t="shared" si="1"/>
        <v>149136080</v>
      </c>
      <c r="J30" s="77">
        <v>348969972</v>
      </c>
      <c r="K30" s="78">
        <v>287751733</v>
      </c>
      <c r="L30" s="78">
        <f t="shared" si="2"/>
        <v>636721705</v>
      </c>
      <c r="M30" s="40">
        <f t="shared" si="3"/>
        <v>0.32200764283032984</v>
      </c>
      <c r="N30" s="105">
        <v>501705889</v>
      </c>
      <c r="O30" s="106">
        <v>52097728</v>
      </c>
      <c r="P30" s="107">
        <f t="shared" si="4"/>
        <v>553803617</v>
      </c>
      <c r="Q30" s="40">
        <f t="shared" si="5"/>
        <v>0.2800736898093976</v>
      </c>
      <c r="R30" s="105">
        <v>1016016640</v>
      </c>
      <c r="S30" s="107">
        <v>807646</v>
      </c>
      <c r="T30" s="107">
        <f t="shared" si="6"/>
        <v>1016824286</v>
      </c>
      <c r="U30" s="40">
        <f t="shared" si="7"/>
        <v>6.818097176752936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1866692501</v>
      </c>
      <c r="AA30" s="78">
        <f t="shared" si="11"/>
        <v>340657107</v>
      </c>
      <c r="AB30" s="78">
        <f t="shared" si="12"/>
        <v>2207349608</v>
      </c>
      <c r="AC30" s="40">
        <f t="shared" si="13"/>
        <v>14.800909397645425</v>
      </c>
      <c r="AD30" s="77">
        <v>645829365</v>
      </c>
      <c r="AE30" s="78">
        <v>139821520</v>
      </c>
      <c r="AF30" s="78">
        <f t="shared" si="14"/>
        <v>785650885</v>
      </c>
      <c r="AG30" s="40">
        <f>IF(1827963493=0,0,1674465238/1827963493)</f>
        <v>0.9160277239738069</v>
      </c>
      <c r="AH30" s="40">
        <f t="shared" si="15"/>
        <v>0.29424443530029243</v>
      </c>
      <c r="AI30" s="12">
        <v>1913039420</v>
      </c>
      <c r="AJ30" s="12">
        <v>1827963493</v>
      </c>
      <c r="AK30" s="12">
        <v>1674465238</v>
      </c>
      <c r="AL30" s="12"/>
    </row>
    <row r="31" spans="1:38" s="56" customFormat="1" ht="12.75">
      <c r="A31" s="61"/>
      <c r="B31" s="62" t="s">
        <v>135</v>
      </c>
      <c r="C31" s="32"/>
      <c r="D31" s="81">
        <f>SUM(D23:D30)</f>
        <v>2882661776</v>
      </c>
      <c r="E31" s="82">
        <f>SUM(E23:E30)</f>
        <v>884412929</v>
      </c>
      <c r="F31" s="83">
        <f t="shared" si="0"/>
        <v>3767074705</v>
      </c>
      <c r="G31" s="81">
        <f>SUM(G23:G30)</f>
        <v>1541474937</v>
      </c>
      <c r="H31" s="82">
        <f>SUM(H23:H30)</f>
        <v>428403542</v>
      </c>
      <c r="I31" s="83">
        <f t="shared" si="1"/>
        <v>1969878479</v>
      </c>
      <c r="J31" s="81">
        <f>SUM(J23:J30)</f>
        <v>1131014232</v>
      </c>
      <c r="K31" s="82">
        <f>SUM(K23:K30)</f>
        <v>353186428</v>
      </c>
      <c r="L31" s="82">
        <f t="shared" si="2"/>
        <v>1484200660</v>
      </c>
      <c r="M31" s="44">
        <f t="shared" si="3"/>
        <v>0.3939928926893952</v>
      </c>
      <c r="N31" s="111">
        <f>SUM(N23:N30)</f>
        <v>837922070</v>
      </c>
      <c r="O31" s="112">
        <f>SUM(O23:O30)</f>
        <v>174297530</v>
      </c>
      <c r="P31" s="113">
        <f t="shared" si="4"/>
        <v>1012219600</v>
      </c>
      <c r="Q31" s="44">
        <f t="shared" si="5"/>
        <v>0.26870175912797567</v>
      </c>
      <c r="R31" s="111">
        <f>SUM(R23:R30)</f>
        <v>1329175250</v>
      </c>
      <c r="S31" s="113">
        <f>SUM(S23:S30)</f>
        <v>77206490</v>
      </c>
      <c r="T31" s="113">
        <f t="shared" si="6"/>
        <v>1406381740</v>
      </c>
      <c r="U31" s="44">
        <f t="shared" si="7"/>
        <v>0.7139434005664874</v>
      </c>
      <c r="V31" s="111">
        <f>SUM(V23:V30)</f>
        <v>0</v>
      </c>
      <c r="W31" s="113">
        <f>SUM(W23:W30)</f>
        <v>0</v>
      </c>
      <c r="X31" s="113">
        <f t="shared" si="8"/>
        <v>0</v>
      </c>
      <c r="Y31" s="44">
        <f t="shared" si="9"/>
        <v>0</v>
      </c>
      <c r="Z31" s="81">
        <f t="shared" si="10"/>
        <v>3298111552</v>
      </c>
      <c r="AA31" s="82">
        <f t="shared" si="11"/>
        <v>604690448</v>
      </c>
      <c r="AB31" s="82">
        <f t="shared" si="12"/>
        <v>3902802000</v>
      </c>
      <c r="AC31" s="44">
        <f t="shared" si="13"/>
        <v>1.981239980844524</v>
      </c>
      <c r="AD31" s="81">
        <f>SUM(AD23:AD30)</f>
        <v>915927409</v>
      </c>
      <c r="AE31" s="82">
        <f>SUM(AE23:AE30)</f>
        <v>180221563</v>
      </c>
      <c r="AF31" s="82">
        <f t="shared" si="14"/>
        <v>1096148972</v>
      </c>
      <c r="AG31" s="44">
        <f>IF(1827963493=0,0,1674465238/1827963493)</f>
        <v>0.9160277239738069</v>
      </c>
      <c r="AH31" s="44">
        <f t="shared" si="15"/>
        <v>0.2830206257767671</v>
      </c>
      <c r="AI31" s="63">
        <f>SUM(AI23:AI30)</f>
        <v>3297587562</v>
      </c>
      <c r="AJ31" s="63">
        <f>SUM(AJ23:AJ30)</f>
        <v>3314201067</v>
      </c>
      <c r="AK31" s="63">
        <f>SUM(AK23:AK30)</f>
        <v>2602459942</v>
      </c>
      <c r="AL31" s="63"/>
    </row>
    <row r="32" spans="1:38" s="13" customFormat="1" ht="12.75">
      <c r="A32" s="29" t="s">
        <v>96</v>
      </c>
      <c r="B32" s="60" t="s">
        <v>136</v>
      </c>
      <c r="C32" s="39" t="s">
        <v>137</v>
      </c>
      <c r="D32" s="77">
        <v>218153932</v>
      </c>
      <c r="E32" s="78">
        <v>23020000</v>
      </c>
      <c r="F32" s="79">
        <f t="shared" si="0"/>
        <v>241173932</v>
      </c>
      <c r="G32" s="77">
        <v>218153932</v>
      </c>
      <c r="H32" s="78">
        <v>23020000</v>
      </c>
      <c r="I32" s="80">
        <f t="shared" si="1"/>
        <v>241173932</v>
      </c>
      <c r="J32" s="77">
        <v>84786511</v>
      </c>
      <c r="K32" s="78">
        <v>1847168</v>
      </c>
      <c r="L32" s="78">
        <f t="shared" si="2"/>
        <v>86633679</v>
      </c>
      <c r="M32" s="40">
        <f t="shared" si="3"/>
        <v>0.35921659642717935</v>
      </c>
      <c r="N32" s="105">
        <v>29966359</v>
      </c>
      <c r="O32" s="106">
        <v>4495379</v>
      </c>
      <c r="P32" s="107">
        <f t="shared" si="4"/>
        <v>34461738</v>
      </c>
      <c r="Q32" s="40">
        <f t="shared" si="5"/>
        <v>0.1428916372271942</v>
      </c>
      <c r="R32" s="105">
        <v>10791520</v>
      </c>
      <c r="S32" s="107">
        <v>11470147</v>
      </c>
      <c r="T32" s="107">
        <f t="shared" si="6"/>
        <v>22261667</v>
      </c>
      <c r="U32" s="40">
        <f t="shared" si="7"/>
        <v>0.09230544452043017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125544390</v>
      </c>
      <c r="AA32" s="78">
        <f t="shared" si="11"/>
        <v>17812694</v>
      </c>
      <c r="AB32" s="78">
        <f t="shared" si="12"/>
        <v>143357084</v>
      </c>
      <c r="AC32" s="40">
        <f t="shared" si="13"/>
        <v>0.5944136781748037</v>
      </c>
      <c r="AD32" s="77">
        <v>21135148</v>
      </c>
      <c r="AE32" s="78">
        <v>4103703</v>
      </c>
      <c r="AF32" s="78">
        <f t="shared" si="14"/>
        <v>25238851</v>
      </c>
      <c r="AG32" s="40">
        <f>IF(227183157=0,0,146066757/227183157)</f>
        <v>0.6429471221759631</v>
      </c>
      <c r="AH32" s="40">
        <f t="shared" si="15"/>
        <v>-0.11796036198319804</v>
      </c>
      <c r="AI32" s="12">
        <v>227183157</v>
      </c>
      <c r="AJ32" s="12">
        <v>227183157</v>
      </c>
      <c r="AK32" s="12">
        <v>146066757</v>
      </c>
      <c r="AL32" s="12"/>
    </row>
    <row r="33" spans="1:38" s="13" customFormat="1" ht="12.75">
      <c r="A33" s="29" t="s">
        <v>96</v>
      </c>
      <c r="B33" s="60" t="s">
        <v>138</v>
      </c>
      <c r="C33" s="39" t="s">
        <v>139</v>
      </c>
      <c r="D33" s="77">
        <v>98789342</v>
      </c>
      <c r="E33" s="78">
        <v>12200930</v>
      </c>
      <c r="F33" s="79">
        <f t="shared" si="0"/>
        <v>110990272</v>
      </c>
      <c r="G33" s="77">
        <v>98789342</v>
      </c>
      <c r="H33" s="78">
        <v>12200930</v>
      </c>
      <c r="I33" s="80">
        <f t="shared" si="1"/>
        <v>110990272</v>
      </c>
      <c r="J33" s="77">
        <v>20355753</v>
      </c>
      <c r="K33" s="78">
        <v>2594022</v>
      </c>
      <c r="L33" s="78">
        <f t="shared" si="2"/>
        <v>22949775</v>
      </c>
      <c r="M33" s="40">
        <f t="shared" si="3"/>
        <v>0.2067728512278986</v>
      </c>
      <c r="N33" s="105">
        <v>41263055</v>
      </c>
      <c r="O33" s="106">
        <v>5621206</v>
      </c>
      <c r="P33" s="107">
        <f t="shared" si="4"/>
        <v>46884261</v>
      </c>
      <c r="Q33" s="40">
        <f t="shared" si="5"/>
        <v>0.4224177502691407</v>
      </c>
      <c r="R33" s="105">
        <v>2489180</v>
      </c>
      <c r="S33" s="107">
        <v>240374</v>
      </c>
      <c r="T33" s="107">
        <f t="shared" si="6"/>
        <v>2729554</v>
      </c>
      <c r="U33" s="40">
        <f t="shared" si="7"/>
        <v>0.024592731874735832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64107988</v>
      </c>
      <c r="AA33" s="78">
        <f t="shared" si="11"/>
        <v>8455602</v>
      </c>
      <c r="AB33" s="78">
        <f t="shared" si="12"/>
        <v>72563590</v>
      </c>
      <c r="AC33" s="40">
        <f t="shared" si="13"/>
        <v>0.6537833333717752</v>
      </c>
      <c r="AD33" s="77">
        <v>12573732</v>
      </c>
      <c r="AE33" s="78">
        <v>1640772</v>
      </c>
      <c r="AF33" s="78">
        <f t="shared" si="14"/>
        <v>14214504</v>
      </c>
      <c r="AG33" s="40">
        <f>IF(110773826=0,0,57486224/110773826)</f>
        <v>0.5189513270039079</v>
      </c>
      <c r="AH33" s="40">
        <f t="shared" si="15"/>
        <v>-0.8079740242783006</v>
      </c>
      <c r="AI33" s="12">
        <v>110773826</v>
      </c>
      <c r="AJ33" s="12">
        <v>110773826</v>
      </c>
      <c r="AK33" s="12">
        <v>57486224</v>
      </c>
      <c r="AL33" s="12"/>
    </row>
    <row r="34" spans="1:38" s="13" customFormat="1" ht="12.75">
      <c r="A34" s="29" t="s">
        <v>96</v>
      </c>
      <c r="B34" s="60" t="s">
        <v>140</v>
      </c>
      <c r="C34" s="39" t="s">
        <v>141</v>
      </c>
      <c r="D34" s="77">
        <v>55539761</v>
      </c>
      <c r="E34" s="78">
        <v>9350200</v>
      </c>
      <c r="F34" s="79">
        <f t="shared" si="0"/>
        <v>64889961</v>
      </c>
      <c r="G34" s="77">
        <v>55539761</v>
      </c>
      <c r="H34" s="78">
        <v>9350200</v>
      </c>
      <c r="I34" s="80">
        <f t="shared" si="1"/>
        <v>64889961</v>
      </c>
      <c r="J34" s="77">
        <v>0</v>
      </c>
      <c r="K34" s="78">
        <v>0</v>
      </c>
      <c r="L34" s="78">
        <f t="shared" si="2"/>
        <v>0</v>
      </c>
      <c r="M34" s="40">
        <f t="shared" si="3"/>
        <v>0</v>
      </c>
      <c r="N34" s="105">
        <v>0</v>
      </c>
      <c r="O34" s="106">
        <v>0</v>
      </c>
      <c r="P34" s="107">
        <f t="shared" si="4"/>
        <v>0</v>
      </c>
      <c r="Q34" s="40">
        <f t="shared" si="5"/>
        <v>0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0</v>
      </c>
      <c r="AA34" s="78">
        <f t="shared" si="11"/>
        <v>0</v>
      </c>
      <c r="AB34" s="78">
        <f t="shared" si="12"/>
        <v>0</v>
      </c>
      <c r="AC34" s="40">
        <f t="shared" si="13"/>
        <v>0</v>
      </c>
      <c r="AD34" s="77">
        <v>13763709</v>
      </c>
      <c r="AE34" s="78">
        <v>0</v>
      </c>
      <c r="AF34" s="78">
        <f t="shared" si="14"/>
        <v>13763709</v>
      </c>
      <c r="AG34" s="40">
        <f>IF(73838108=0,0,28109834/73838108)</f>
        <v>0.3806954804421587</v>
      </c>
      <c r="AH34" s="40">
        <f t="shared" si="15"/>
        <v>-1</v>
      </c>
      <c r="AI34" s="12">
        <v>73838108</v>
      </c>
      <c r="AJ34" s="12">
        <v>73838108</v>
      </c>
      <c r="AK34" s="12">
        <v>28109834</v>
      </c>
      <c r="AL34" s="12"/>
    </row>
    <row r="35" spans="1:38" s="13" customFormat="1" ht="12.75">
      <c r="A35" s="29" t="s">
        <v>96</v>
      </c>
      <c r="B35" s="60" t="s">
        <v>142</v>
      </c>
      <c r="C35" s="39" t="s">
        <v>143</v>
      </c>
      <c r="D35" s="77">
        <v>560801905</v>
      </c>
      <c r="E35" s="78">
        <v>76701759</v>
      </c>
      <c r="F35" s="79">
        <f t="shared" si="0"/>
        <v>637503664</v>
      </c>
      <c r="G35" s="77">
        <v>582369499</v>
      </c>
      <c r="H35" s="78">
        <v>99835693</v>
      </c>
      <c r="I35" s="80">
        <f t="shared" si="1"/>
        <v>682205192</v>
      </c>
      <c r="J35" s="77">
        <v>205157634</v>
      </c>
      <c r="K35" s="78">
        <v>4462677</v>
      </c>
      <c r="L35" s="78">
        <f t="shared" si="2"/>
        <v>209620311</v>
      </c>
      <c r="M35" s="40">
        <f t="shared" si="3"/>
        <v>0.32881428427366655</v>
      </c>
      <c r="N35" s="105">
        <v>116685230</v>
      </c>
      <c r="O35" s="106">
        <v>12458086</v>
      </c>
      <c r="P35" s="107">
        <f t="shared" si="4"/>
        <v>129143316</v>
      </c>
      <c r="Q35" s="40">
        <f t="shared" si="5"/>
        <v>0.20257658628923583</v>
      </c>
      <c r="R35" s="105">
        <v>94530924</v>
      </c>
      <c r="S35" s="107">
        <v>7816903</v>
      </c>
      <c r="T35" s="107">
        <f t="shared" si="6"/>
        <v>102347827</v>
      </c>
      <c r="U35" s="40">
        <f t="shared" si="7"/>
        <v>0.15002498984205914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416373788</v>
      </c>
      <c r="AA35" s="78">
        <f t="shared" si="11"/>
        <v>24737666</v>
      </c>
      <c r="AB35" s="78">
        <f t="shared" si="12"/>
        <v>441111454</v>
      </c>
      <c r="AC35" s="40">
        <f t="shared" si="13"/>
        <v>0.6465964480669036</v>
      </c>
      <c r="AD35" s="77">
        <v>99783850</v>
      </c>
      <c r="AE35" s="78">
        <v>5359244</v>
      </c>
      <c r="AF35" s="78">
        <f t="shared" si="14"/>
        <v>105143094</v>
      </c>
      <c r="AG35" s="40">
        <f>IF(535098580=0,0,431677472/535098580)</f>
        <v>0.8067251309095232</v>
      </c>
      <c r="AH35" s="40">
        <f t="shared" si="15"/>
        <v>-0.026585359947653764</v>
      </c>
      <c r="AI35" s="12">
        <v>522535093</v>
      </c>
      <c r="AJ35" s="12">
        <v>535098580</v>
      </c>
      <c r="AK35" s="12">
        <v>431677472</v>
      </c>
      <c r="AL35" s="12"/>
    </row>
    <row r="36" spans="1:38" s="13" customFormat="1" ht="12.75">
      <c r="A36" s="29" t="s">
        <v>96</v>
      </c>
      <c r="B36" s="60" t="s">
        <v>144</v>
      </c>
      <c r="C36" s="39" t="s">
        <v>145</v>
      </c>
      <c r="D36" s="77">
        <v>228306798</v>
      </c>
      <c r="E36" s="78">
        <v>71589491</v>
      </c>
      <c r="F36" s="79">
        <f t="shared" si="0"/>
        <v>299896289</v>
      </c>
      <c r="G36" s="77">
        <v>228306798</v>
      </c>
      <c r="H36" s="78">
        <v>16776409</v>
      </c>
      <c r="I36" s="80">
        <f t="shared" si="1"/>
        <v>245083207</v>
      </c>
      <c r="J36" s="77">
        <v>9642376</v>
      </c>
      <c r="K36" s="78">
        <v>0</v>
      </c>
      <c r="L36" s="78">
        <f t="shared" si="2"/>
        <v>9642376</v>
      </c>
      <c r="M36" s="40">
        <f t="shared" si="3"/>
        <v>0.03215236851430329</v>
      </c>
      <c r="N36" s="105">
        <v>68326401</v>
      </c>
      <c r="O36" s="106">
        <v>4585045</v>
      </c>
      <c r="P36" s="107">
        <f t="shared" si="4"/>
        <v>72911446</v>
      </c>
      <c r="Q36" s="40">
        <f t="shared" si="5"/>
        <v>0.24312220148879535</v>
      </c>
      <c r="R36" s="105">
        <v>67737725</v>
      </c>
      <c r="S36" s="107">
        <v>2592761</v>
      </c>
      <c r="T36" s="107">
        <f t="shared" si="6"/>
        <v>70330486</v>
      </c>
      <c r="U36" s="40">
        <f t="shared" si="7"/>
        <v>0.28696574873854985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145706502</v>
      </c>
      <c r="AA36" s="78">
        <f t="shared" si="11"/>
        <v>7177806</v>
      </c>
      <c r="AB36" s="78">
        <f t="shared" si="12"/>
        <v>152884308</v>
      </c>
      <c r="AC36" s="40">
        <f t="shared" si="13"/>
        <v>0.6238057265180148</v>
      </c>
      <c r="AD36" s="77">
        <v>6426196</v>
      </c>
      <c r="AE36" s="78">
        <v>0</v>
      </c>
      <c r="AF36" s="78">
        <f t="shared" si="14"/>
        <v>6426196</v>
      </c>
      <c r="AG36" s="40">
        <f>IF(153961000=0,0,118273983/153961000)</f>
        <v>0.7682074226589851</v>
      </c>
      <c r="AH36" s="40">
        <f t="shared" si="15"/>
        <v>9.944341878149997</v>
      </c>
      <c r="AI36" s="12">
        <v>153961000</v>
      </c>
      <c r="AJ36" s="12">
        <v>153961000</v>
      </c>
      <c r="AK36" s="12">
        <v>118273983</v>
      </c>
      <c r="AL36" s="12"/>
    </row>
    <row r="37" spans="1:38" s="13" customFormat="1" ht="12.75">
      <c r="A37" s="29" t="s">
        <v>96</v>
      </c>
      <c r="B37" s="60" t="s">
        <v>146</v>
      </c>
      <c r="C37" s="39" t="s">
        <v>147</v>
      </c>
      <c r="D37" s="77">
        <v>158291966</v>
      </c>
      <c r="E37" s="78">
        <v>40015000</v>
      </c>
      <c r="F37" s="79">
        <f t="shared" si="0"/>
        <v>198306966</v>
      </c>
      <c r="G37" s="77">
        <v>158291966</v>
      </c>
      <c r="H37" s="78">
        <v>40015000</v>
      </c>
      <c r="I37" s="80">
        <f t="shared" si="1"/>
        <v>198306966</v>
      </c>
      <c r="J37" s="77">
        <v>59608415</v>
      </c>
      <c r="K37" s="78">
        <v>3419728</v>
      </c>
      <c r="L37" s="78">
        <f t="shared" si="2"/>
        <v>63028143</v>
      </c>
      <c r="M37" s="40">
        <f t="shared" si="3"/>
        <v>0.3178312102258677</v>
      </c>
      <c r="N37" s="105">
        <v>94454142</v>
      </c>
      <c r="O37" s="106">
        <v>19627557</v>
      </c>
      <c r="P37" s="107">
        <f t="shared" si="4"/>
        <v>114081699</v>
      </c>
      <c r="Q37" s="40">
        <f t="shared" si="5"/>
        <v>0.5752783238083528</v>
      </c>
      <c r="R37" s="105">
        <v>37379230</v>
      </c>
      <c r="S37" s="107">
        <v>3465909</v>
      </c>
      <c r="T37" s="107">
        <f t="shared" si="6"/>
        <v>40845139</v>
      </c>
      <c r="U37" s="40">
        <f t="shared" si="7"/>
        <v>0.20596925979897246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191441787</v>
      </c>
      <c r="AA37" s="78">
        <f t="shared" si="11"/>
        <v>26513194</v>
      </c>
      <c r="AB37" s="78">
        <f t="shared" si="12"/>
        <v>217954981</v>
      </c>
      <c r="AC37" s="40">
        <f t="shared" si="13"/>
        <v>1.099078793833193</v>
      </c>
      <c r="AD37" s="77">
        <v>36666804</v>
      </c>
      <c r="AE37" s="78">
        <v>9040655</v>
      </c>
      <c r="AF37" s="78">
        <f t="shared" si="14"/>
        <v>45707459</v>
      </c>
      <c r="AG37" s="40">
        <f>IF(213638248=0,0,153546110/213638248)</f>
        <v>0.7187201329230148</v>
      </c>
      <c r="AH37" s="40">
        <f t="shared" si="15"/>
        <v>-0.10637913606179683</v>
      </c>
      <c r="AI37" s="12">
        <v>206711951</v>
      </c>
      <c r="AJ37" s="12">
        <v>213638248</v>
      </c>
      <c r="AK37" s="12">
        <v>153546110</v>
      </c>
      <c r="AL37" s="12"/>
    </row>
    <row r="38" spans="1:38" s="13" customFormat="1" ht="12.75">
      <c r="A38" s="29" t="s">
        <v>96</v>
      </c>
      <c r="B38" s="60" t="s">
        <v>148</v>
      </c>
      <c r="C38" s="39" t="s">
        <v>149</v>
      </c>
      <c r="D38" s="77">
        <v>154801110</v>
      </c>
      <c r="E38" s="78">
        <v>84169000</v>
      </c>
      <c r="F38" s="79">
        <f t="shared" si="0"/>
        <v>238970110</v>
      </c>
      <c r="G38" s="77">
        <v>154801110</v>
      </c>
      <c r="H38" s="78">
        <v>103315516</v>
      </c>
      <c r="I38" s="80">
        <f t="shared" si="1"/>
        <v>258116626</v>
      </c>
      <c r="J38" s="77">
        <v>77116334</v>
      </c>
      <c r="K38" s="78">
        <v>9817569</v>
      </c>
      <c r="L38" s="78">
        <f t="shared" si="2"/>
        <v>86933903</v>
      </c>
      <c r="M38" s="40">
        <f t="shared" si="3"/>
        <v>0.3637856759575497</v>
      </c>
      <c r="N38" s="105">
        <v>55289953</v>
      </c>
      <c r="O38" s="106">
        <v>22473544</v>
      </c>
      <c r="P38" s="107">
        <f t="shared" si="4"/>
        <v>77763497</v>
      </c>
      <c r="Q38" s="40">
        <f t="shared" si="5"/>
        <v>0.3254109771301524</v>
      </c>
      <c r="R38" s="105">
        <v>40651531</v>
      </c>
      <c r="S38" s="107">
        <v>12649726</v>
      </c>
      <c r="T38" s="107">
        <f t="shared" si="6"/>
        <v>53301257</v>
      </c>
      <c r="U38" s="40">
        <f t="shared" si="7"/>
        <v>0.2065006730717145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173057818</v>
      </c>
      <c r="AA38" s="78">
        <f t="shared" si="11"/>
        <v>44940839</v>
      </c>
      <c r="AB38" s="78">
        <f t="shared" si="12"/>
        <v>217998657</v>
      </c>
      <c r="AC38" s="40">
        <f t="shared" si="13"/>
        <v>0.8445742545852122</v>
      </c>
      <c r="AD38" s="77">
        <v>36519714</v>
      </c>
      <c r="AE38" s="78">
        <v>15343225</v>
      </c>
      <c r="AF38" s="78">
        <f t="shared" si="14"/>
        <v>51862939</v>
      </c>
      <c r="AG38" s="40">
        <f>IF(222322398=0,0,163859917/222322398)</f>
        <v>0.7370373766839273</v>
      </c>
      <c r="AH38" s="40">
        <f t="shared" si="15"/>
        <v>0.027733060018060307</v>
      </c>
      <c r="AI38" s="12">
        <v>222322398</v>
      </c>
      <c r="AJ38" s="12">
        <v>222322398</v>
      </c>
      <c r="AK38" s="12">
        <v>163859917</v>
      </c>
      <c r="AL38" s="12"/>
    </row>
    <row r="39" spans="1:38" s="13" customFormat="1" ht="12.75">
      <c r="A39" s="29" t="s">
        <v>96</v>
      </c>
      <c r="B39" s="60" t="s">
        <v>150</v>
      </c>
      <c r="C39" s="39" t="s">
        <v>151</v>
      </c>
      <c r="D39" s="77">
        <v>93047750</v>
      </c>
      <c r="E39" s="78">
        <v>21609550</v>
      </c>
      <c r="F39" s="79">
        <f t="shared" si="0"/>
        <v>114657300</v>
      </c>
      <c r="G39" s="77">
        <v>93047750</v>
      </c>
      <c r="H39" s="78">
        <v>21609550</v>
      </c>
      <c r="I39" s="80">
        <f t="shared" si="1"/>
        <v>114657300</v>
      </c>
      <c r="J39" s="77">
        <v>33405782</v>
      </c>
      <c r="K39" s="78">
        <v>2958961</v>
      </c>
      <c r="L39" s="78">
        <f t="shared" si="2"/>
        <v>36364743</v>
      </c>
      <c r="M39" s="40">
        <f t="shared" si="3"/>
        <v>0.3171602941984505</v>
      </c>
      <c r="N39" s="105">
        <v>3746833</v>
      </c>
      <c r="O39" s="106">
        <v>5200037</v>
      </c>
      <c r="P39" s="107">
        <f t="shared" si="4"/>
        <v>8946870</v>
      </c>
      <c r="Q39" s="40">
        <f t="shared" si="5"/>
        <v>0.07803140314659424</v>
      </c>
      <c r="R39" s="105">
        <v>3713064</v>
      </c>
      <c r="S39" s="107">
        <v>3088095</v>
      </c>
      <c r="T39" s="107">
        <f t="shared" si="6"/>
        <v>6801159</v>
      </c>
      <c r="U39" s="40">
        <f t="shared" si="7"/>
        <v>0.059317278533508114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40865679</v>
      </c>
      <c r="AA39" s="78">
        <f t="shared" si="11"/>
        <v>11247093</v>
      </c>
      <c r="AB39" s="78">
        <f t="shared" si="12"/>
        <v>52112772</v>
      </c>
      <c r="AC39" s="40">
        <f t="shared" si="13"/>
        <v>0.4545089758785529</v>
      </c>
      <c r="AD39" s="77">
        <v>22553540</v>
      </c>
      <c r="AE39" s="78">
        <v>511345</v>
      </c>
      <c r="AF39" s="78">
        <f t="shared" si="14"/>
        <v>23064885</v>
      </c>
      <c r="AG39" s="40">
        <f>IF(132232030=0,0,124462420/132232030)</f>
        <v>0.9412426021138751</v>
      </c>
      <c r="AH39" s="40">
        <f t="shared" si="15"/>
        <v>-0.7051292906944908</v>
      </c>
      <c r="AI39" s="12">
        <v>132232030</v>
      </c>
      <c r="AJ39" s="12">
        <v>132232030</v>
      </c>
      <c r="AK39" s="12">
        <v>124462420</v>
      </c>
      <c r="AL39" s="12"/>
    </row>
    <row r="40" spans="1:38" s="13" customFormat="1" ht="12.75">
      <c r="A40" s="29" t="s">
        <v>115</v>
      </c>
      <c r="B40" s="60" t="s">
        <v>152</v>
      </c>
      <c r="C40" s="39" t="s">
        <v>153</v>
      </c>
      <c r="D40" s="77">
        <v>874547303</v>
      </c>
      <c r="E40" s="78">
        <v>767320342</v>
      </c>
      <c r="F40" s="79">
        <f t="shared" si="0"/>
        <v>1641867645</v>
      </c>
      <c r="G40" s="77">
        <v>816296915</v>
      </c>
      <c r="H40" s="78">
        <v>831291542</v>
      </c>
      <c r="I40" s="80">
        <f t="shared" si="1"/>
        <v>1647588457</v>
      </c>
      <c r="J40" s="77">
        <v>253513759</v>
      </c>
      <c r="K40" s="78">
        <v>85371955</v>
      </c>
      <c r="L40" s="78">
        <f t="shared" si="2"/>
        <v>338885714</v>
      </c>
      <c r="M40" s="40">
        <f t="shared" si="3"/>
        <v>0.2064025775963202</v>
      </c>
      <c r="N40" s="105">
        <v>261363427</v>
      </c>
      <c r="O40" s="106">
        <v>148612204</v>
      </c>
      <c r="P40" s="107">
        <f t="shared" si="4"/>
        <v>409975631</v>
      </c>
      <c r="Q40" s="40">
        <f t="shared" si="5"/>
        <v>0.24970077962648446</v>
      </c>
      <c r="R40" s="105">
        <v>198690651</v>
      </c>
      <c r="S40" s="107">
        <v>28843407</v>
      </c>
      <c r="T40" s="107">
        <f t="shared" si="6"/>
        <v>227534058</v>
      </c>
      <c r="U40" s="40">
        <f t="shared" si="7"/>
        <v>0.13810126978815074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713567837</v>
      </c>
      <c r="AA40" s="78">
        <f t="shared" si="11"/>
        <v>262827566</v>
      </c>
      <c r="AB40" s="78">
        <f t="shared" si="12"/>
        <v>976395403</v>
      </c>
      <c r="AC40" s="40">
        <f t="shared" si="13"/>
        <v>0.5926209296087585</v>
      </c>
      <c r="AD40" s="77">
        <v>167057814</v>
      </c>
      <c r="AE40" s="78">
        <v>118278469</v>
      </c>
      <c r="AF40" s="78">
        <f t="shared" si="14"/>
        <v>285336283</v>
      </c>
      <c r="AG40" s="40">
        <f>IF(1409368836=0,0,851855176/1409368836)</f>
        <v>0.6044231674780696</v>
      </c>
      <c r="AH40" s="40">
        <f t="shared" si="15"/>
        <v>-0.20257579720417118</v>
      </c>
      <c r="AI40" s="12">
        <v>1683791672</v>
      </c>
      <c r="AJ40" s="12">
        <v>1409368836</v>
      </c>
      <c r="AK40" s="12">
        <v>851855176</v>
      </c>
      <c r="AL40" s="12"/>
    </row>
    <row r="41" spans="1:38" s="56" customFormat="1" ht="12.75">
      <c r="A41" s="61"/>
      <c r="B41" s="62" t="s">
        <v>154</v>
      </c>
      <c r="C41" s="32"/>
      <c r="D41" s="81">
        <f>SUM(D32:D40)</f>
        <v>2442279867</v>
      </c>
      <c r="E41" s="82">
        <f>SUM(E32:E40)</f>
        <v>1105976272</v>
      </c>
      <c r="F41" s="83">
        <f t="shared" si="0"/>
        <v>3548256139</v>
      </c>
      <c r="G41" s="81">
        <f>SUM(G32:G40)</f>
        <v>2405597073</v>
      </c>
      <c r="H41" s="82">
        <f>SUM(H32:H40)</f>
        <v>1157414840</v>
      </c>
      <c r="I41" s="83">
        <f t="shared" si="1"/>
        <v>3563011913</v>
      </c>
      <c r="J41" s="81">
        <f>SUM(J32:J40)</f>
        <v>743586564</v>
      </c>
      <c r="K41" s="82">
        <f>SUM(K32:K40)</f>
        <v>110472080</v>
      </c>
      <c r="L41" s="82">
        <f t="shared" si="2"/>
        <v>854058644</v>
      </c>
      <c r="M41" s="44">
        <f t="shared" si="3"/>
        <v>0.2406981374914772</v>
      </c>
      <c r="N41" s="111">
        <f>SUM(N32:N40)</f>
        <v>671095400</v>
      </c>
      <c r="O41" s="112">
        <f>SUM(O32:O40)</f>
        <v>223073058</v>
      </c>
      <c r="P41" s="113">
        <f t="shared" si="4"/>
        <v>894168458</v>
      </c>
      <c r="Q41" s="44">
        <f t="shared" si="5"/>
        <v>0.2520022295380294</v>
      </c>
      <c r="R41" s="111">
        <f>SUM(R32:R40)</f>
        <v>455983825</v>
      </c>
      <c r="S41" s="113">
        <f>SUM(S32:S40)</f>
        <v>70167322</v>
      </c>
      <c r="T41" s="113">
        <f t="shared" si="6"/>
        <v>526151147</v>
      </c>
      <c r="U41" s="44">
        <f t="shared" si="7"/>
        <v>0.14767033056507212</v>
      </c>
      <c r="V41" s="111">
        <f>SUM(V32:V40)</f>
        <v>0</v>
      </c>
      <c r="W41" s="113">
        <f>SUM(W32:W40)</f>
        <v>0</v>
      </c>
      <c r="X41" s="113">
        <f t="shared" si="8"/>
        <v>0</v>
      </c>
      <c r="Y41" s="44">
        <f t="shared" si="9"/>
        <v>0</v>
      </c>
      <c r="Z41" s="81">
        <f t="shared" si="10"/>
        <v>1870665789</v>
      </c>
      <c r="AA41" s="82">
        <f t="shared" si="11"/>
        <v>403712460</v>
      </c>
      <c r="AB41" s="82">
        <f t="shared" si="12"/>
        <v>2274378249</v>
      </c>
      <c r="AC41" s="44">
        <f t="shared" si="13"/>
        <v>0.6383302398461557</v>
      </c>
      <c r="AD41" s="81">
        <f>SUM(AD32:AD40)</f>
        <v>416480507</v>
      </c>
      <c r="AE41" s="82">
        <f>SUM(AE32:AE40)</f>
        <v>154277413</v>
      </c>
      <c r="AF41" s="82">
        <f t="shared" si="14"/>
        <v>570757920</v>
      </c>
      <c r="AG41" s="44">
        <f>IF(1409368836=0,0,851855176/1409368836)</f>
        <v>0.6044231674780696</v>
      </c>
      <c r="AH41" s="44">
        <f t="shared" si="15"/>
        <v>-0.07815357691400937</v>
      </c>
      <c r="AI41" s="63">
        <f>SUM(AI32:AI40)</f>
        <v>3333349235</v>
      </c>
      <c r="AJ41" s="63">
        <f>SUM(AJ32:AJ40)</f>
        <v>3078416183</v>
      </c>
      <c r="AK41" s="63">
        <f>SUM(AK32:AK40)</f>
        <v>2075337893</v>
      </c>
      <c r="AL41" s="63"/>
    </row>
    <row r="42" spans="1:38" s="13" customFormat="1" ht="12.75">
      <c r="A42" s="29" t="s">
        <v>96</v>
      </c>
      <c r="B42" s="60" t="s">
        <v>155</v>
      </c>
      <c r="C42" s="39" t="s">
        <v>156</v>
      </c>
      <c r="D42" s="77">
        <v>283745419</v>
      </c>
      <c r="E42" s="78">
        <v>54490612</v>
      </c>
      <c r="F42" s="79">
        <f aca="true" t="shared" si="16" ref="F42:F61">$D42+$E42</f>
        <v>338236031</v>
      </c>
      <c r="G42" s="77">
        <v>288457874</v>
      </c>
      <c r="H42" s="78">
        <v>55135040</v>
      </c>
      <c r="I42" s="80">
        <f aca="true" t="shared" si="17" ref="I42:I61">$G42+$H42</f>
        <v>343592914</v>
      </c>
      <c r="J42" s="77">
        <v>79681566</v>
      </c>
      <c r="K42" s="78">
        <v>2834585</v>
      </c>
      <c r="L42" s="78">
        <f aca="true" t="shared" si="18" ref="L42:L61">$J42+$K42</f>
        <v>82516151</v>
      </c>
      <c r="M42" s="40">
        <f aca="true" t="shared" si="19" ref="M42:M61">IF($F42=0,0,$L42/$F42)</f>
        <v>0.2439602627669197</v>
      </c>
      <c r="N42" s="105">
        <v>52521057</v>
      </c>
      <c r="O42" s="106">
        <v>9326834</v>
      </c>
      <c r="P42" s="107">
        <f aca="true" t="shared" si="20" ref="P42:P61">$N42+$O42</f>
        <v>61847891</v>
      </c>
      <c r="Q42" s="40">
        <f aca="true" t="shared" si="21" ref="Q42:Q61">IF($F42=0,0,$P42/$F42)</f>
        <v>0.1828542358930412</v>
      </c>
      <c r="R42" s="105">
        <v>85031535</v>
      </c>
      <c r="S42" s="107">
        <v>9143911</v>
      </c>
      <c r="T42" s="107">
        <f aca="true" t="shared" si="22" ref="T42:T61">$R42+$S42</f>
        <v>94175446</v>
      </c>
      <c r="U42" s="40">
        <f aca="true" t="shared" si="23" ref="U42:U61">IF($I42=0,0,$T42/$I42)</f>
        <v>0.27409018685408626</v>
      </c>
      <c r="V42" s="105">
        <v>0</v>
      </c>
      <c r="W42" s="107">
        <v>0</v>
      </c>
      <c r="X42" s="107">
        <f aca="true" t="shared" si="24" ref="X42:X61">$V42+$W42</f>
        <v>0</v>
      </c>
      <c r="Y42" s="40">
        <f aca="true" t="shared" si="25" ref="Y42:Y61">IF($I42=0,0,$X42/$I42)</f>
        <v>0</v>
      </c>
      <c r="Z42" s="77">
        <f aca="true" t="shared" si="26" ref="Z42:Z61">$J42+$N42+$R42</f>
        <v>217234158</v>
      </c>
      <c r="AA42" s="78">
        <f aca="true" t="shared" si="27" ref="AA42:AA61">$K42+$O42+$S42</f>
        <v>21305330</v>
      </c>
      <c r="AB42" s="78">
        <f aca="true" t="shared" si="28" ref="AB42:AB61">$Z42+$AA42</f>
        <v>238539488</v>
      </c>
      <c r="AC42" s="40">
        <f aca="true" t="shared" si="29" ref="AC42:AC61">IF($I42=0,0,$AB42/$I42)</f>
        <v>0.6942503127407337</v>
      </c>
      <c r="AD42" s="77">
        <v>37507472</v>
      </c>
      <c r="AE42" s="78">
        <v>11694136</v>
      </c>
      <c r="AF42" s="78">
        <f aca="true" t="shared" si="30" ref="AF42:AF61">$AD42+$AE42</f>
        <v>49201608</v>
      </c>
      <c r="AG42" s="40">
        <f>IF(245769609=0,0,229209984/245769609)</f>
        <v>0.9326213478249867</v>
      </c>
      <c r="AH42" s="40">
        <f aca="true" t="shared" si="31" ref="AH42:AH61">IF($AF42=0,0,(($T42/$AF42)-1))</f>
        <v>0.9140725238085714</v>
      </c>
      <c r="AI42" s="12">
        <v>237558917</v>
      </c>
      <c r="AJ42" s="12">
        <v>245769609</v>
      </c>
      <c r="AK42" s="12">
        <v>229209984</v>
      </c>
      <c r="AL42" s="12"/>
    </row>
    <row r="43" spans="1:38" s="13" customFormat="1" ht="12.75">
      <c r="A43" s="29" t="s">
        <v>96</v>
      </c>
      <c r="B43" s="60" t="s">
        <v>157</v>
      </c>
      <c r="C43" s="39" t="s">
        <v>158</v>
      </c>
      <c r="D43" s="77">
        <v>195728056</v>
      </c>
      <c r="E43" s="78">
        <v>62889900</v>
      </c>
      <c r="F43" s="79">
        <f t="shared" si="16"/>
        <v>258617956</v>
      </c>
      <c r="G43" s="77">
        <v>197764370</v>
      </c>
      <c r="H43" s="78">
        <v>66219988</v>
      </c>
      <c r="I43" s="80">
        <f t="shared" si="17"/>
        <v>263984358</v>
      </c>
      <c r="J43" s="77">
        <v>7858936</v>
      </c>
      <c r="K43" s="78">
        <v>9290622</v>
      </c>
      <c r="L43" s="78">
        <f t="shared" si="18"/>
        <v>17149558</v>
      </c>
      <c r="M43" s="40">
        <f t="shared" si="19"/>
        <v>0.06631232519678563</v>
      </c>
      <c r="N43" s="105">
        <v>59750419</v>
      </c>
      <c r="O43" s="106">
        <v>12081549</v>
      </c>
      <c r="P43" s="107">
        <f t="shared" si="20"/>
        <v>71831968</v>
      </c>
      <c r="Q43" s="40">
        <f t="shared" si="21"/>
        <v>0.2777532121551529</v>
      </c>
      <c r="R43" s="105">
        <v>42693301</v>
      </c>
      <c r="S43" s="107">
        <v>11081400</v>
      </c>
      <c r="T43" s="107">
        <f t="shared" si="22"/>
        <v>53774701</v>
      </c>
      <c r="U43" s="40">
        <f t="shared" si="23"/>
        <v>0.2037041187114579</v>
      </c>
      <c r="V43" s="105">
        <v>0</v>
      </c>
      <c r="W43" s="107">
        <v>0</v>
      </c>
      <c r="X43" s="107">
        <f t="shared" si="24"/>
        <v>0</v>
      </c>
      <c r="Y43" s="40">
        <f t="shared" si="25"/>
        <v>0</v>
      </c>
      <c r="Z43" s="77">
        <f t="shared" si="26"/>
        <v>110302656</v>
      </c>
      <c r="AA43" s="78">
        <f t="shared" si="27"/>
        <v>32453571</v>
      </c>
      <c r="AB43" s="78">
        <f t="shared" si="28"/>
        <v>142756227</v>
      </c>
      <c r="AC43" s="40">
        <f t="shared" si="29"/>
        <v>0.540775325028917</v>
      </c>
      <c r="AD43" s="77">
        <v>43384283</v>
      </c>
      <c r="AE43" s="78">
        <v>7793607</v>
      </c>
      <c r="AF43" s="78">
        <f t="shared" si="30"/>
        <v>51177890</v>
      </c>
      <c r="AG43" s="40">
        <f>IF(228956179=0,0,200049173/228956179)</f>
        <v>0.873744372716842</v>
      </c>
      <c r="AH43" s="40">
        <f t="shared" si="31"/>
        <v>0.05074087657775661</v>
      </c>
      <c r="AI43" s="12">
        <v>214957572</v>
      </c>
      <c r="AJ43" s="12">
        <v>228956179</v>
      </c>
      <c r="AK43" s="12">
        <v>200049173</v>
      </c>
      <c r="AL43" s="12"/>
    </row>
    <row r="44" spans="1:38" s="13" customFormat="1" ht="12.75">
      <c r="A44" s="29" t="s">
        <v>96</v>
      </c>
      <c r="B44" s="60" t="s">
        <v>159</v>
      </c>
      <c r="C44" s="39" t="s">
        <v>160</v>
      </c>
      <c r="D44" s="77">
        <v>154150900</v>
      </c>
      <c r="E44" s="78">
        <v>13749700</v>
      </c>
      <c r="F44" s="79">
        <f t="shared" si="16"/>
        <v>167900600</v>
      </c>
      <c r="G44" s="77">
        <v>151299530</v>
      </c>
      <c r="H44" s="78">
        <v>30460271</v>
      </c>
      <c r="I44" s="80">
        <f t="shared" si="17"/>
        <v>181759801</v>
      </c>
      <c r="J44" s="77">
        <v>45900602</v>
      </c>
      <c r="K44" s="78">
        <v>2123221</v>
      </c>
      <c r="L44" s="78">
        <f t="shared" si="18"/>
        <v>48023823</v>
      </c>
      <c r="M44" s="40">
        <f t="shared" si="19"/>
        <v>0.2860253209339335</v>
      </c>
      <c r="N44" s="105">
        <v>24574992</v>
      </c>
      <c r="O44" s="106">
        <v>10633223</v>
      </c>
      <c r="P44" s="107">
        <f t="shared" si="20"/>
        <v>35208215</v>
      </c>
      <c r="Q44" s="40">
        <f t="shared" si="21"/>
        <v>0.20969677892753213</v>
      </c>
      <c r="R44" s="105">
        <v>28280767</v>
      </c>
      <c r="S44" s="107">
        <v>3215270</v>
      </c>
      <c r="T44" s="107">
        <f t="shared" si="22"/>
        <v>31496037</v>
      </c>
      <c r="U44" s="40">
        <f t="shared" si="23"/>
        <v>0.1732838439892438</v>
      </c>
      <c r="V44" s="105">
        <v>0</v>
      </c>
      <c r="W44" s="107">
        <v>0</v>
      </c>
      <c r="X44" s="107">
        <f t="shared" si="24"/>
        <v>0</v>
      </c>
      <c r="Y44" s="40">
        <f t="shared" si="25"/>
        <v>0</v>
      </c>
      <c r="Z44" s="77">
        <f t="shared" si="26"/>
        <v>98756361</v>
      </c>
      <c r="AA44" s="78">
        <f t="shared" si="27"/>
        <v>15971714</v>
      </c>
      <c r="AB44" s="78">
        <f t="shared" si="28"/>
        <v>114728075</v>
      </c>
      <c r="AC44" s="40">
        <f t="shared" si="29"/>
        <v>0.6312070896248395</v>
      </c>
      <c r="AD44" s="77">
        <v>14600777</v>
      </c>
      <c r="AE44" s="78">
        <v>705252</v>
      </c>
      <c r="AF44" s="78">
        <f t="shared" si="30"/>
        <v>15306029</v>
      </c>
      <c r="AG44" s="40">
        <f>IF(142143500=0,0,89861979/142143500)</f>
        <v>0.6321919679760243</v>
      </c>
      <c r="AH44" s="40">
        <f t="shared" si="31"/>
        <v>1.0577536472719347</v>
      </c>
      <c r="AI44" s="12">
        <v>140738910</v>
      </c>
      <c r="AJ44" s="12">
        <v>142143500</v>
      </c>
      <c r="AK44" s="12">
        <v>89861979</v>
      </c>
      <c r="AL44" s="12"/>
    </row>
    <row r="45" spans="1:38" s="13" customFormat="1" ht="12.75">
      <c r="A45" s="29" t="s">
        <v>96</v>
      </c>
      <c r="B45" s="60" t="s">
        <v>161</v>
      </c>
      <c r="C45" s="39" t="s">
        <v>162</v>
      </c>
      <c r="D45" s="77">
        <v>111063279</v>
      </c>
      <c r="E45" s="78">
        <v>11629550</v>
      </c>
      <c r="F45" s="79">
        <f t="shared" si="16"/>
        <v>122692829</v>
      </c>
      <c r="G45" s="77">
        <v>93260309</v>
      </c>
      <c r="H45" s="78">
        <v>11629550</v>
      </c>
      <c r="I45" s="80">
        <f t="shared" si="17"/>
        <v>104889859</v>
      </c>
      <c r="J45" s="77">
        <v>10177089</v>
      </c>
      <c r="K45" s="78">
        <v>5943146</v>
      </c>
      <c r="L45" s="78">
        <f t="shared" si="18"/>
        <v>16120235</v>
      </c>
      <c r="M45" s="40">
        <f t="shared" si="19"/>
        <v>0.13138693704747814</v>
      </c>
      <c r="N45" s="105">
        <v>8539749</v>
      </c>
      <c r="O45" s="106">
        <v>9202632</v>
      </c>
      <c r="P45" s="107">
        <f t="shared" si="20"/>
        <v>17742381</v>
      </c>
      <c r="Q45" s="40">
        <f t="shared" si="21"/>
        <v>0.14460813353647586</v>
      </c>
      <c r="R45" s="105">
        <v>20663114</v>
      </c>
      <c r="S45" s="107">
        <v>6848523</v>
      </c>
      <c r="T45" s="107">
        <f t="shared" si="22"/>
        <v>27511637</v>
      </c>
      <c r="U45" s="40">
        <f t="shared" si="23"/>
        <v>0.2622907234530652</v>
      </c>
      <c r="V45" s="105">
        <v>0</v>
      </c>
      <c r="W45" s="107">
        <v>0</v>
      </c>
      <c r="X45" s="107">
        <f t="shared" si="24"/>
        <v>0</v>
      </c>
      <c r="Y45" s="40">
        <f t="shared" si="25"/>
        <v>0</v>
      </c>
      <c r="Z45" s="77">
        <f t="shared" si="26"/>
        <v>39379952</v>
      </c>
      <c r="AA45" s="78">
        <f t="shared" si="27"/>
        <v>21994301</v>
      </c>
      <c r="AB45" s="78">
        <f t="shared" si="28"/>
        <v>61374253</v>
      </c>
      <c r="AC45" s="40">
        <f t="shared" si="29"/>
        <v>0.585130474815492</v>
      </c>
      <c r="AD45" s="77">
        <v>19535967</v>
      </c>
      <c r="AE45" s="78">
        <v>3203157</v>
      </c>
      <c r="AF45" s="78">
        <f t="shared" si="30"/>
        <v>22739124</v>
      </c>
      <c r="AG45" s="40">
        <f>IF(114176735=0,0,83644186/114176735)</f>
        <v>0.7325851978513837</v>
      </c>
      <c r="AH45" s="40">
        <f t="shared" si="31"/>
        <v>0.20988112822639948</v>
      </c>
      <c r="AI45" s="12">
        <v>114176735</v>
      </c>
      <c r="AJ45" s="12">
        <v>114176735</v>
      </c>
      <c r="AK45" s="12">
        <v>83644186</v>
      </c>
      <c r="AL45" s="12"/>
    </row>
    <row r="46" spans="1:38" s="13" customFormat="1" ht="12.75">
      <c r="A46" s="29" t="s">
        <v>115</v>
      </c>
      <c r="B46" s="60" t="s">
        <v>163</v>
      </c>
      <c r="C46" s="39" t="s">
        <v>164</v>
      </c>
      <c r="D46" s="77">
        <v>415815276</v>
      </c>
      <c r="E46" s="78">
        <v>234660932</v>
      </c>
      <c r="F46" s="79">
        <f t="shared" si="16"/>
        <v>650476208</v>
      </c>
      <c r="G46" s="77">
        <v>425999497</v>
      </c>
      <c r="H46" s="78">
        <v>225011809</v>
      </c>
      <c r="I46" s="80">
        <f t="shared" si="17"/>
        <v>651011306</v>
      </c>
      <c r="J46" s="77">
        <v>93033077</v>
      </c>
      <c r="K46" s="78">
        <v>7061411</v>
      </c>
      <c r="L46" s="78">
        <f t="shared" si="18"/>
        <v>100094488</v>
      </c>
      <c r="M46" s="40">
        <f t="shared" si="19"/>
        <v>0.15387878414147932</v>
      </c>
      <c r="N46" s="105">
        <v>84891090</v>
      </c>
      <c r="O46" s="106">
        <v>67138504</v>
      </c>
      <c r="P46" s="107">
        <f t="shared" si="20"/>
        <v>152029594</v>
      </c>
      <c r="Q46" s="40">
        <f t="shared" si="21"/>
        <v>0.233720453000796</v>
      </c>
      <c r="R46" s="105">
        <v>71618580</v>
      </c>
      <c r="S46" s="107">
        <v>32212551</v>
      </c>
      <c r="T46" s="107">
        <f t="shared" si="22"/>
        <v>103831131</v>
      </c>
      <c r="U46" s="40">
        <f t="shared" si="23"/>
        <v>0.1594920549659394</v>
      </c>
      <c r="V46" s="105">
        <v>0</v>
      </c>
      <c r="W46" s="107">
        <v>0</v>
      </c>
      <c r="X46" s="107">
        <f t="shared" si="24"/>
        <v>0</v>
      </c>
      <c r="Y46" s="40">
        <f t="shared" si="25"/>
        <v>0</v>
      </c>
      <c r="Z46" s="77">
        <f t="shared" si="26"/>
        <v>249542747</v>
      </c>
      <c r="AA46" s="78">
        <f t="shared" si="27"/>
        <v>106412466</v>
      </c>
      <c r="AB46" s="78">
        <f t="shared" si="28"/>
        <v>355955213</v>
      </c>
      <c r="AC46" s="40">
        <f t="shared" si="29"/>
        <v>0.5467727053575933</v>
      </c>
      <c r="AD46" s="77">
        <v>81610519</v>
      </c>
      <c r="AE46" s="78">
        <v>19228000</v>
      </c>
      <c r="AF46" s="78">
        <f t="shared" si="30"/>
        <v>100838519</v>
      </c>
      <c r="AG46" s="40">
        <f>IF(515974397=0,0,309201179/515974397)</f>
        <v>0.5992568251404924</v>
      </c>
      <c r="AH46" s="40">
        <f t="shared" si="31"/>
        <v>0.029677270448607018</v>
      </c>
      <c r="AI46" s="12">
        <v>439989336</v>
      </c>
      <c r="AJ46" s="12">
        <v>515974397</v>
      </c>
      <c r="AK46" s="12">
        <v>309201179</v>
      </c>
      <c r="AL46" s="12"/>
    </row>
    <row r="47" spans="1:38" s="56" customFormat="1" ht="12.75">
      <c r="A47" s="61"/>
      <c r="B47" s="62" t="s">
        <v>165</v>
      </c>
      <c r="C47" s="32"/>
      <c r="D47" s="81">
        <f>SUM(D42:D46)</f>
        <v>1160502930</v>
      </c>
      <c r="E47" s="82">
        <f>SUM(E42:E46)</f>
        <v>377420694</v>
      </c>
      <c r="F47" s="83">
        <f t="shared" si="16"/>
        <v>1537923624</v>
      </c>
      <c r="G47" s="81">
        <f>SUM(G42:G46)</f>
        <v>1156781580</v>
      </c>
      <c r="H47" s="82">
        <f>SUM(H42:H46)</f>
        <v>388456658</v>
      </c>
      <c r="I47" s="83">
        <f t="shared" si="17"/>
        <v>1545238238</v>
      </c>
      <c r="J47" s="81">
        <f>SUM(J42:J46)</f>
        <v>236651270</v>
      </c>
      <c r="K47" s="82">
        <f>SUM(K42:K46)</f>
        <v>27252985</v>
      </c>
      <c r="L47" s="82">
        <f t="shared" si="18"/>
        <v>263904255</v>
      </c>
      <c r="M47" s="44">
        <f t="shared" si="19"/>
        <v>0.17159776394721665</v>
      </c>
      <c r="N47" s="111">
        <f>SUM(N42:N46)</f>
        <v>230277307</v>
      </c>
      <c r="O47" s="112">
        <f>SUM(O42:O46)</f>
        <v>108382742</v>
      </c>
      <c r="P47" s="113">
        <f t="shared" si="20"/>
        <v>338660049</v>
      </c>
      <c r="Q47" s="44">
        <f t="shared" si="21"/>
        <v>0.22020602565371608</v>
      </c>
      <c r="R47" s="111">
        <f>SUM(R42:R46)</f>
        <v>248287297</v>
      </c>
      <c r="S47" s="113">
        <f>SUM(S42:S46)</f>
        <v>62501655</v>
      </c>
      <c r="T47" s="113">
        <f t="shared" si="22"/>
        <v>310788952</v>
      </c>
      <c r="U47" s="44">
        <f t="shared" si="23"/>
        <v>0.20112688409927892</v>
      </c>
      <c r="V47" s="111">
        <f>SUM(V42:V46)</f>
        <v>0</v>
      </c>
      <c r="W47" s="113">
        <f>SUM(W42:W46)</f>
        <v>0</v>
      </c>
      <c r="X47" s="113">
        <f t="shared" si="24"/>
        <v>0</v>
      </c>
      <c r="Y47" s="44">
        <f t="shared" si="25"/>
        <v>0</v>
      </c>
      <c r="Z47" s="81">
        <f t="shared" si="26"/>
        <v>715215874</v>
      </c>
      <c r="AA47" s="82">
        <f t="shared" si="27"/>
        <v>198137382</v>
      </c>
      <c r="AB47" s="82">
        <f t="shared" si="28"/>
        <v>913353256</v>
      </c>
      <c r="AC47" s="44">
        <f t="shared" si="29"/>
        <v>0.5910760124485089</v>
      </c>
      <c r="AD47" s="81">
        <f>SUM(AD42:AD46)</f>
        <v>196639018</v>
      </c>
      <c r="AE47" s="82">
        <f>SUM(AE42:AE46)</f>
        <v>42624152</v>
      </c>
      <c r="AF47" s="82">
        <f t="shared" si="30"/>
        <v>239263170</v>
      </c>
      <c r="AG47" s="44">
        <f>IF(515974397=0,0,309201179/515974397)</f>
        <v>0.5992568251404924</v>
      </c>
      <c r="AH47" s="44">
        <f t="shared" si="31"/>
        <v>0.29894188060786786</v>
      </c>
      <c r="AI47" s="63">
        <f>SUM(AI42:AI46)</f>
        <v>1147421470</v>
      </c>
      <c r="AJ47" s="63">
        <f>SUM(AJ42:AJ46)</f>
        <v>1247020420</v>
      </c>
      <c r="AK47" s="63">
        <f>SUM(AK42:AK46)</f>
        <v>911966501</v>
      </c>
      <c r="AL47" s="63"/>
    </row>
    <row r="48" spans="1:38" s="13" customFormat="1" ht="12.75">
      <c r="A48" s="29" t="s">
        <v>96</v>
      </c>
      <c r="B48" s="60" t="s">
        <v>166</v>
      </c>
      <c r="C48" s="39" t="s">
        <v>167</v>
      </c>
      <c r="D48" s="77">
        <v>268206754</v>
      </c>
      <c r="E48" s="78">
        <v>145145180</v>
      </c>
      <c r="F48" s="79">
        <f t="shared" si="16"/>
        <v>413351934</v>
      </c>
      <c r="G48" s="77">
        <v>269206754</v>
      </c>
      <c r="H48" s="78">
        <v>146245180</v>
      </c>
      <c r="I48" s="80">
        <f t="shared" si="17"/>
        <v>415451934</v>
      </c>
      <c r="J48" s="77">
        <v>96140795</v>
      </c>
      <c r="K48" s="78">
        <v>21993501</v>
      </c>
      <c r="L48" s="78">
        <f t="shared" si="18"/>
        <v>118134296</v>
      </c>
      <c r="M48" s="40">
        <f t="shared" si="19"/>
        <v>0.28579591936782855</v>
      </c>
      <c r="N48" s="105">
        <v>90274807</v>
      </c>
      <c r="O48" s="106">
        <v>15685768</v>
      </c>
      <c r="P48" s="107">
        <f t="shared" si="20"/>
        <v>105960575</v>
      </c>
      <c r="Q48" s="40">
        <f t="shared" si="21"/>
        <v>0.25634469391402437</v>
      </c>
      <c r="R48" s="105">
        <v>59624536</v>
      </c>
      <c r="S48" s="107">
        <v>20345496</v>
      </c>
      <c r="T48" s="107">
        <f t="shared" si="22"/>
        <v>79970032</v>
      </c>
      <c r="U48" s="40">
        <f t="shared" si="23"/>
        <v>0.19248925195760433</v>
      </c>
      <c r="V48" s="105">
        <v>0</v>
      </c>
      <c r="W48" s="107">
        <v>0</v>
      </c>
      <c r="X48" s="107">
        <f t="shared" si="24"/>
        <v>0</v>
      </c>
      <c r="Y48" s="40">
        <f t="shared" si="25"/>
        <v>0</v>
      </c>
      <c r="Z48" s="77">
        <f t="shared" si="26"/>
        <v>246040138</v>
      </c>
      <c r="AA48" s="78">
        <f t="shared" si="27"/>
        <v>58024765</v>
      </c>
      <c r="AB48" s="78">
        <f t="shared" si="28"/>
        <v>304064903</v>
      </c>
      <c r="AC48" s="40">
        <f t="shared" si="29"/>
        <v>0.7318894873648608</v>
      </c>
      <c r="AD48" s="77">
        <v>15235879</v>
      </c>
      <c r="AE48" s="78">
        <v>26090558</v>
      </c>
      <c r="AF48" s="78">
        <f t="shared" si="30"/>
        <v>41326437</v>
      </c>
      <c r="AG48" s="40">
        <f>IF(128279889=0,0,214861307/128279889)</f>
        <v>1.6749414789406312</v>
      </c>
      <c r="AH48" s="40">
        <f t="shared" si="31"/>
        <v>0.9350817008492651</v>
      </c>
      <c r="AI48" s="12">
        <v>367175762</v>
      </c>
      <c r="AJ48" s="12">
        <v>128279889</v>
      </c>
      <c r="AK48" s="12">
        <v>214861307</v>
      </c>
      <c r="AL48" s="12"/>
    </row>
    <row r="49" spans="1:38" s="13" customFormat="1" ht="12.75">
      <c r="A49" s="29" t="s">
        <v>96</v>
      </c>
      <c r="B49" s="60" t="s">
        <v>168</v>
      </c>
      <c r="C49" s="39" t="s">
        <v>169</v>
      </c>
      <c r="D49" s="77">
        <v>0</v>
      </c>
      <c r="E49" s="78">
        <v>0</v>
      </c>
      <c r="F49" s="79">
        <f t="shared" si="16"/>
        <v>0</v>
      </c>
      <c r="G49" s="77">
        <v>0</v>
      </c>
      <c r="H49" s="78">
        <v>0</v>
      </c>
      <c r="I49" s="80">
        <f t="shared" si="17"/>
        <v>0</v>
      </c>
      <c r="J49" s="77">
        <v>61267769</v>
      </c>
      <c r="K49" s="78">
        <v>5068781</v>
      </c>
      <c r="L49" s="78">
        <f t="shared" si="18"/>
        <v>66336550</v>
      </c>
      <c r="M49" s="40">
        <f t="shared" si="19"/>
        <v>0</v>
      </c>
      <c r="N49" s="105">
        <v>12736170</v>
      </c>
      <c r="O49" s="106">
        <v>5181254</v>
      </c>
      <c r="P49" s="107">
        <f t="shared" si="20"/>
        <v>17917424</v>
      </c>
      <c r="Q49" s="40">
        <f t="shared" si="21"/>
        <v>0</v>
      </c>
      <c r="R49" s="105">
        <v>27269616</v>
      </c>
      <c r="S49" s="107">
        <v>4893585</v>
      </c>
      <c r="T49" s="107">
        <f t="shared" si="22"/>
        <v>32163201</v>
      </c>
      <c r="U49" s="40">
        <f t="shared" si="23"/>
        <v>0</v>
      </c>
      <c r="V49" s="105">
        <v>0</v>
      </c>
      <c r="W49" s="107">
        <v>0</v>
      </c>
      <c r="X49" s="107">
        <f t="shared" si="24"/>
        <v>0</v>
      </c>
      <c r="Y49" s="40">
        <f t="shared" si="25"/>
        <v>0</v>
      </c>
      <c r="Z49" s="77">
        <f t="shared" si="26"/>
        <v>101273555</v>
      </c>
      <c r="AA49" s="78">
        <f t="shared" si="27"/>
        <v>15143620</v>
      </c>
      <c r="AB49" s="78">
        <f t="shared" si="28"/>
        <v>116417175</v>
      </c>
      <c r="AC49" s="40">
        <f t="shared" si="29"/>
        <v>0</v>
      </c>
      <c r="AD49" s="77">
        <v>1213765</v>
      </c>
      <c r="AE49" s="78">
        <v>0</v>
      </c>
      <c r="AF49" s="78">
        <f t="shared" si="30"/>
        <v>1213765</v>
      </c>
      <c r="AG49" s="40">
        <f>IF(142056164=0,0,108043350/142056164)</f>
        <v>0.7605678413222534</v>
      </c>
      <c r="AH49" s="40">
        <f t="shared" si="31"/>
        <v>25.498705268318</v>
      </c>
      <c r="AI49" s="12">
        <v>142056164</v>
      </c>
      <c r="AJ49" s="12">
        <v>142056164</v>
      </c>
      <c r="AK49" s="12">
        <v>108043350</v>
      </c>
      <c r="AL49" s="12"/>
    </row>
    <row r="50" spans="1:38" s="13" customFormat="1" ht="12.75">
      <c r="A50" s="29" t="s">
        <v>96</v>
      </c>
      <c r="B50" s="60" t="s">
        <v>170</v>
      </c>
      <c r="C50" s="39" t="s">
        <v>171</v>
      </c>
      <c r="D50" s="77">
        <v>267165861</v>
      </c>
      <c r="E50" s="78">
        <v>77317746</v>
      </c>
      <c r="F50" s="79">
        <f t="shared" si="16"/>
        <v>344483607</v>
      </c>
      <c r="G50" s="77">
        <v>273947861</v>
      </c>
      <c r="H50" s="78">
        <v>101792122</v>
      </c>
      <c r="I50" s="80">
        <f t="shared" si="17"/>
        <v>375739983</v>
      </c>
      <c r="J50" s="77">
        <v>100572316</v>
      </c>
      <c r="K50" s="78">
        <v>15736079</v>
      </c>
      <c r="L50" s="78">
        <f t="shared" si="18"/>
        <v>116308395</v>
      </c>
      <c r="M50" s="40">
        <f t="shared" si="19"/>
        <v>0.3376311459720636</v>
      </c>
      <c r="N50" s="105">
        <v>77048757</v>
      </c>
      <c r="O50" s="106">
        <v>15607914</v>
      </c>
      <c r="P50" s="107">
        <f t="shared" si="20"/>
        <v>92656671</v>
      </c>
      <c r="Q50" s="40">
        <f t="shared" si="21"/>
        <v>0.26897265680337584</v>
      </c>
      <c r="R50" s="105">
        <v>56679487</v>
      </c>
      <c r="S50" s="107">
        <v>11087416</v>
      </c>
      <c r="T50" s="107">
        <f t="shared" si="22"/>
        <v>67766903</v>
      </c>
      <c r="U50" s="40">
        <f t="shared" si="23"/>
        <v>0.18035584730411827</v>
      </c>
      <c r="V50" s="105">
        <v>0</v>
      </c>
      <c r="W50" s="107">
        <v>0</v>
      </c>
      <c r="X50" s="107">
        <f t="shared" si="24"/>
        <v>0</v>
      </c>
      <c r="Y50" s="40">
        <f t="shared" si="25"/>
        <v>0</v>
      </c>
      <c r="Z50" s="77">
        <f t="shared" si="26"/>
        <v>234300560</v>
      </c>
      <c r="AA50" s="78">
        <f t="shared" si="27"/>
        <v>42431409</v>
      </c>
      <c r="AB50" s="78">
        <f t="shared" si="28"/>
        <v>276731969</v>
      </c>
      <c r="AC50" s="40">
        <f t="shared" si="29"/>
        <v>0.7364985934967693</v>
      </c>
      <c r="AD50" s="77">
        <v>52719006</v>
      </c>
      <c r="AE50" s="78">
        <v>7965091</v>
      </c>
      <c r="AF50" s="78">
        <f t="shared" si="30"/>
        <v>60684097</v>
      </c>
      <c r="AG50" s="40">
        <f>IF(295689231=0,0,231373122/295689231)</f>
        <v>0.7824874826097403</v>
      </c>
      <c r="AH50" s="40">
        <f t="shared" si="31"/>
        <v>0.1167160154002127</v>
      </c>
      <c r="AI50" s="12">
        <v>296648975</v>
      </c>
      <c r="AJ50" s="12">
        <v>295689231</v>
      </c>
      <c r="AK50" s="12">
        <v>231373122</v>
      </c>
      <c r="AL50" s="12"/>
    </row>
    <row r="51" spans="1:38" s="13" customFormat="1" ht="12.75">
      <c r="A51" s="29" t="s">
        <v>96</v>
      </c>
      <c r="B51" s="60" t="s">
        <v>172</v>
      </c>
      <c r="C51" s="39" t="s">
        <v>173</v>
      </c>
      <c r="D51" s="77">
        <v>201969780</v>
      </c>
      <c r="E51" s="78">
        <v>52698873</v>
      </c>
      <c r="F51" s="79">
        <f t="shared" si="16"/>
        <v>254668653</v>
      </c>
      <c r="G51" s="77">
        <v>219648334</v>
      </c>
      <c r="H51" s="78">
        <v>60641000</v>
      </c>
      <c r="I51" s="80">
        <f t="shared" si="17"/>
        <v>280289334</v>
      </c>
      <c r="J51" s="77">
        <v>83728299</v>
      </c>
      <c r="K51" s="78">
        <v>10513275</v>
      </c>
      <c r="L51" s="78">
        <f t="shared" si="18"/>
        <v>94241574</v>
      </c>
      <c r="M51" s="40">
        <f t="shared" si="19"/>
        <v>0.3700556503120154</v>
      </c>
      <c r="N51" s="105">
        <v>61692329</v>
      </c>
      <c r="O51" s="106">
        <v>10231688</v>
      </c>
      <c r="P51" s="107">
        <f t="shared" si="20"/>
        <v>71924017</v>
      </c>
      <c r="Q51" s="40">
        <f t="shared" si="21"/>
        <v>0.2824219477063005</v>
      </c>
      <c r="R51" s="105">
        <v>42745139</v>
      </c>
      <c r="S51" s="107">
        <v>10808650</v>
      </c>
      <c r="T51" s="107">
        <f t="shared" si="22"/>
        <v>53553789</v>
      </c>
      <c r="U51" s="40">
        <f t="shared" si="23"/>
        <v>0.19106609672132582</v>
      </c>
      <c r="V51" s="105">
        <v>0</v>
      </c>
      <c r="W51" s="107">
        <v>0</v>
      </c>
      <c r="X51" s="107">
        <f t="shared" si="24"/>
        <v>0</v>
      </c>
      <c r="Y51" s="40">
        <f t="shared" si="25"/>
        <v>0</v>
      </c>
      <c r="Z51" s="77">
        <f t="shared" si="26"/>
        <v>188165767</v>
      </c>
      <c r="AA51" s="78">
        <f t="shared" si="27"/>
        <v>31553613</v>
      </c>
      <c r="AB51" s="78">
        <f t="shared" si="28"/>
        <v>219719380</v>
      </c>
      <c r="AC51" s="40">
        <f t="shared" si="29"/>
        <v>0.783902037456766</v>
      </c>
      <c r="AD51" s="77">
        <v>37937576</v>
      </c>
      <c r="AE51" s="78">
        <v>7139356</v>
      </c>
      <c r="AF51" s="78">
        <f t="shared" si="30"/>
        <v>45076932</v>
      </c>
      <c r="AG51" s="40">
        <f>IF(220918502=0,0,176014826/220918502)</f>
        <v>0.7967409900326049</v>
      </c>
      <c r="AH51" s="40">
        <f t="shared" si="31"/>
        <v>0.18805310441269607</v>
      </c>
      <c r="AI51" s="12">
        <v>216573886</v>
      </c>
      <c r="AJ51" s="12">
        <v>220918502</v>
      </c>
      <c r="AK51" s="12">
        <v>176014826</v>
      </c>
      <c r="AL51" s="12"/>
    </row>
    <row r="52" spans="1:38" s="13" customFormat="1" ht="12.75">
      <c r="A52" s="29" t="s">
        <v>96</v>
      </c>
      <c r="B52" s="60" t="s">
        <v>174</v>
      </c>
      <c r="C52" s="39" t="s">
        <v>175</v>
      </c>
      <c r="D52" s="77">
        <v>862257079</v>
      </c>
      <c r="E52" s="78">
        <v>318320006</v>
      </c>
      <c r="F52" s="79">
        <f t="shared" si="16"/>
        <v>1180577085</v>
      </c>
      <c r="G52" s="77">
        <v>847362611</v>
      </c>
      <c r="H52" s="78">
        <v>326690152</v>
      </c>
      <c r="I52" s="80">
        <f t="shared" si="17"/>
        <v>1174052763</v>
      </c>
      <c r="J52" s="77">
        <v>404229837</v>
      </c>
      <c r="K52" s="78">
        <v>44218411</v>
      </c>
      <c r="L52" s="78">
        <f t="shared" si="18"/>
        <v>448448248</v>
      </c>
      <c r="M52" s="40">
        <f t="shared" si="19"/>
        <v>0.3798551180586399</v>
      </c>
      <c r="N52" s="105">
        <v>183793854</v>
      </c>
      <c r="O52" s="106">
        <v>46781656</v>
      </c>
      <c r="P52" s="107">
        <f t="shared" si="20"/>
        <v>230575510</v>
      </c>
      <c r="Q52" s="40">
        <f t="shared" si="21"/>
        <v>0.19530745847061737</v>
      </c>
      <c r="R52" s="105">
        <v>55456027</v>
      </c>
      <c r="S52" s="107">
        <v>31539180</v>
      </c>
      <c r="T52" s="107">
        <f t="shared" si="22"/>
        <v>86995207</v>
      </c>
      <c r="U52" s="40">
        <f t="shared" si="23"/>
        <v>0.07409820899165159</v>
      </c>
      <c r="V52" s="105">
        <v>0</v>
      </c>
      <c r="W52" s="107">
        <v>0</v>
      </c>
      <c r="X52" s="107">
        <f t="shared" si="24"/>
        <v>0</v>
      </c>
      <c r="Y52" s="40">
        <f t="shared" si="25"/>
        <v>0</v>
      </c>
      <c r="Z52" s="77">
        <f t="shared" si="26"/>
        <v>643479718</v>
      </c>
      <c r="AA52" s="78">
        <f t="shared" si="27"/>
        <v>122539247</v>
      </c>
      <c r="AB52" s="78">
        <f t="shared" si="28"/>
        <v>766018965</v>
      </c>
      <c r="AC52" s="40">
        <f t="shared" si="29"/>
        <v>0.6524570182370927</v>
      </c>
      <c r="AD52" s="77">
        <v>376547240</v>
      </c>
      <c r="AE52" s="78">
        <v>57132775</v>
      </c>
      <c r="AF52" s="78">
        <f t="shared" si="30"/>
        <v>433680015</v>
      </c>
      <c r="AG52" s="40">
        <f>IF(1058069610=0,0,848764952/1058069610)</f>
        <v>0.8021825255901641</v>
      </c>
      <c r="AH52" s="40">
        <f t="shared" si="31"/>
        <v>-0.7994023150916927</v>
      </c>
      <c r="AI52" s="12">
        <v>964120811</v>
      </c>
      <c r="AJ52" s="12">
        <v>1058069610</v>
      </c>
      <c r="AK52" s="12">
        <v>848764952</v>
      </c>
      <c r="AL52" s="12"/>
    </row>
    <row r="53" spans="1:38" s="13" customFormat="1" ht="12.75">
      <c r="A53" s="29" t="s">
        <v>115</v>
      </c>
      <c r="B53" s="60" t="s">
        <v>176</v>
      </c>
      <c r="C53" s="39" t="s">
        <v>177</v>
      </c>
      <c r="D53" s="77">
        <v>1532460390</v>
      </c>
      <c r="E53" s="78">
        <v>877559700</v>
      </c>
      <c r="F53" s="79">
        <f t="shared" si="16"/>
        <v>2410020090</v>
      </c>
      <c r="G53" s="77">
        <v>1532460390</v>
      </c>
      <c r="H53" s="78">
        <v>877559700</v>
      </c>
      <c r="I53" s="80">
        <f t="shared" si="17"/>
        <v>2410020090</v>
      </c>
      <c r="J53" s="77">
        <v>376275141</v>
      </c>
      <c r="K53" s="78">
        <v>118241609</v>
      </c>
      <c r="L53" s="78">
        <f t="shared" si="18"/>
        <v>494516750</v>
      </c>
      <c r="M53" s="40">
        <f t="shared" si="19"/>
        <v>0.20519196169854334</v>
      </c>
      <c r="N53" s="105">
        <v>300963492</v>
      </c>
      <c r="O53" s="106">
        <v>205281962</v>
      </c>
      <c r="P53" s="107">
        <f t="shared" si="20"/>
        <v>506245454</v>
      </c>
      <c r="Q53" s="40">
        <f t="shared" si="21"/>
        <v>0.21005860328741077</v>
      </c>
      <c r="R53" s="105">
        <v>229383541</v>
      </c>
      <c r="S53" s="107">
        <v>90771135</v>
      </c>
      <c r="T53" s="107">
        <f t="shared" si="22"/>
        <v>320154676</v>
      </c>
      <c r="U53" s="40">
        <f t="shared" si="23"/>
        <v>0.13284315650663311</v>
      </c>
      <c r="V53" s="105">
        <v>0</v>
      </c>
      <c r="W53" s="107">
        <v>0</v>
      </c>
      <c r="X53" s="107">
        <f t="shared" si="24"/>
        <v>0</v>
      </c>
      <c r="Y53" s="40">
        <f t="shared" si="25"/>
        <v>0</v>
      </c>
      <c r="Z53" s="77">
        <f t="shared" si="26"/>
        <v>906622174</v>
      </c>
      <c r="AA53" s="78">
        <f t="shared" si="27"/>
        <v>414294706</v>
      </c>
      <c r="AB53" s="78">
        <f t="shared" si="28"/>
        <v>1320916880</v>
      </c>
      <c r="AC53" s="40">
        <f t="shared" si="29"/>
        <v>0.5480937214925872</v>
      </c>
      <c r="AD53" s="77">
        <v>244482574</v>
      </c>
      <c r="AE53" s="78">
        <v>84883848</v>
      </c>
      <c r="AF53" s="78">
        <f t="shared" si="30"/>
        <v>329366422</v>
      </c>
      <c r="AG53" s="40">
        <f>IF(1897593956=0,0,1292877175/1897593956)</f>
        <v>0.6813244587505422</v>
      </c>
      <c r="AH53" s="40">
        <f t="shared" si="31"/>
        <v>-0.02796807866467943</v>
      </c>
      <c r="AI53" s="12">
        <v>1897593956</v>
      </c>
      <c r="AJ53" s="12">
        <v>1897593956</v>
      </c>
      <c r="AK53" s="12">
        <v>1292877175</v>
      </c>
      <c r="AL53" s="12"/>
    </row>
    <row r="54" spans="1:38" s="56" customFormat="1" ht="12.75">
      <c r="A54" s="61"/>
      <c r="B54" s="62" t="s">
        <v>178</v>
      </c>
      <c r="C54" s="32"/>
      <c r="D54" s="81">
        <f>SUM(D48:D53)</f>
        <v>3132059864</v>
      </c>
      <c r="E54" s="82">
        <f>SUM(E48:E53)</f>
        <v>1471041505</v>
      </c>
      <c r="F54" s="83">
        <f t="shared" si="16"/>
        <v>4603101369</v>
      </c>
      <c r="G54" s="81">
        <f>SUM(G48:G53)</f>
        <v>3142625950</v>
      </c>
      <c r="H54" s="82">
        <f>SUM(H48:H53)</f>
        <v>1512928154</v>
      </c>
      <c r="I54" s="83">
        <f t="shared" si="17"/>
        <v>4655554104</v>
      </c>
      <c r="J54" s="81">
        <f>SUM(J48:J53)</f>
        <v>1122214157</v>
      </c>
      <c r="K54" s="82">
        <f>SUM(K48:K53)</f>
        <v>215771656</v>
      </c>
      <c r="L54" s="82">
        <f t="shared" si="18"/>
        <v>1337985813</v>
      </c>
      <c r="M54" s="44">
        <f t="shared" si="19"/>
        <v>0.29067050793423443</v>
      </c>
      <c r="N54" s="111">
        <f>SUM(N48:N53)</f>
        <v>726509409</v>
      </c>
      <c r="O54" s="112">
        <f>SUM(O48:O53)</f>
        <v>298770242</v>
      </c>
      <c r="P54" s="113">
        <f t="shared" si="20"/>
        <v>1025279651</v>
      </c>
      <c r="Q54" s="44">
        <f t="shared" si="21"/>
        <v>0.22273670919020772</v>
      </c>
      <c r="R54" s="111">
        <f>SUM(R48:R53)</f>
        <v>471158346</v>
      </c>
      <c r="S54" s="113">
        <f>SUM(S48:S53)</f>
        <v>169445462</v>
      </c>
      <c r="T54" s="113">
        <f t="shared" si="22"/>
        <v>640603808</v>
      </c>
      <c r="U54" s="44">
        <f t="shared" si="23"/>
        <v>0.13759990619582754</v>
      </c>
      <c r="V54" s="111">
        <f>SUM(V48:V53)</f>
        <v>0</v>
      </c>
      <c r="W54" s="113">
        <f>SUM(W48:W53)</f>
        <v>0</v>
      </c>
      <c r="X54" s="113">
        <f t="shared" si="24"/>
        <v>0</v>
      </c>
      <c r="Y54" s="44">
        <f t="shared" si="25"/>
        <v>0</v>
      </c>
      <c r="Z54" s="81">
        <f t="shared" si="26"/>
        <v>2319881912</v>
      </c>
      <c r="AA54" s="82">
        <f t="shared" si="27"/>
        <v>683987360</v>
      </c>
      <c r="AB54" s="82">
        <f t="shared" si="28"/>
        <v>3003869272</v>
      </c>
      <c r="AC54" s="44">
        <f t="shared" si="29"/>
        <v>0.645222717832687</v>
      </c>
      <c r="AD54" s="81">
        <f>SUM(AD48:AD53)</f>
        <v>728136040</v>
      </c>
      <c r="AE54" s="82">
        <f>SUM(AE48:AE53)</f>
        <v>183211628</v>
      </c>
      <c r="AF54" s="82">
        <f t="shared" si="30"/>
        <v>911347668</v>
      </c>
      <c r="AG54" s="44">
        <f>IF(1897593956=0,0,1292877175/1897593956)</f>
        <v>0.6813244587505422</v>
      </c>
      <c r="AH54" s="44">
        <f t="shared" si="31"/>
        <v>-0.2970807623770646</v>
      </c>
      <c r="AI54" s="63">
        <f>SUM(AI48:AI53)</f>
        <v>3884169554</v>
      </c>
      <c r="AJ54" s="63">
        <f>SUM(AJ48:AJ53)</f>
        <v>3742607352</v>
      </c>
      <c r="AK54" s="63">
        <f>SUM(AK48:AK53)</f>
        <v>2871934732</v>
      </c>
      <c r="AL54" s="63"/>
    </row>
    <row r="55" spans="1:38" s="13" customFormat="1" ht="12.75">
      <c r="A55" s="29" t="s">
        <v>96</v>
      </c>
      <c r="B55" s="60" t="s">
        <v>179</v>
      </c>
      <c r="C55" s="39" t="s">
        <v>180</v>
      </c>
      <c r="D55" s="77">
        <v>289986759</v>
      </c>
      <c r="E55" s="78">
        <v>143606403</v>
      </c>
      <c r="F55" s="79">
        <f t="shared" si="16"/>
        <v>433593162</v>
      </c>
      <c r="G55" s="77">
        <v>291678122</v>
      </c>
      <c r="H55" s="78">
        <v>126556887</v>
      </c>
      <c r="I55" s="79">
        <f t="shared" si="17"/>
        <v>418235009</v>
      </c>
      <c r="J55" s="77">
        <v>109017350</v>
      </c>
      <c r="K55" s="91">
        <v>35766454</v>
      </c>
      <c r="L55" s="78">
        <f t="shared" si="18"/>
        <v>144783804</v>
      </c>
      <c r="M55" s="40">
        <f t="shared" si="19"/>
        <v>0.3339162530427544</v>
      </c>
      <c r="N55" s="105">
        <v>79189311</v>
      </c>
      <c r="O55" s="106">
        <v>30735002</v>
      </c>
      <c r="P55" s="107">
        <f t="shared" si="20"/>
        <v>109924313</v>
      </c>
      <c r="Q55" s="40">
        <f t="shared" si="21"/>
        <v>0.2535194800881108</v>
      </c>
      <c r="R55" s="105">
        <v>70668778</v>
      </c>
      <c r="S55" s="107">
        <v>12933325</v>
      </c>
      <c r="T55" s="107">
        <f t="shared" si="22"/>
        <v>83602103</v>
      </c>
      <c r="U55" s="40">
        <f t="shared" si="23"/>
        <v>0.19989264695916453</v>
      </c>
      <c r="V55" s="105">
        <v>0</v>
      </c>
      <c r="W55" s="107">
        <v>0</v>
      </c>
      <c r="X55" s="107">
        <f t="shared" si="24"/>
        <v>0</v>
      </c>
      <c r="Y55" s="40">
        <f t="shared" si="25"/>
        <v>0</v>
      </c>
      <c r="Z55" s="77">
        <f t="shared" si="26"/>
        <v>258875439</v>
      </c>
      <c r="AA55" s="78">
        <f t="shared" si="27"/>
        <v>79434781</v>
      </c>
      <c r="AB55" s="78">
        <f t="shared" si="28"/>
        <v>338310220</v>
      </c>
      <c r="AC55" s="40">
        <f t="shared" si="29"/>
        <v>0.8088998116367633</v>
      </c>
      <c r="AD55" s="77">
        <v>63746122</v>
      </c>
      <c r="AE55" s="78">
        <v>16200923</v>
      </c>
      <c r="AF55" s="78">
        <f t="shared" si="30"/>
        <v>79947045</v>
      </c>
      <c r="AG55" s="40">
        <f>IF(434448830=0,0,285712097/434448830)</f>
        <v>0.6576426894739249</v>
      </c>
      <c r="AH55" s="40">
        <f t="shared" si="31"/>
        <v>0.04571848778150578</v>
      </c>
      <c r="AI55" s="12">
        <v>445980150</v>
      </c>
      <c r="AJ55" s="12">
        <v>434448830</v>
      </c>
      <c r="AK55" s="12">
        <v>285712097</v>
      </c>
      <c r="AL55" s="12"/>
    </row>
    <row r="56" spans="1:38" s="13" customFormat="1" ht="12.75">
      <c r="A56" s="29" t="s">
        <v>96</v>
      </c>
      <c r="B56" s="60" t="s">
        <v>181</v>
      </c>
      <c r="C56" s="39" t="s">
        <v>182</v>
      </c>
      <c r="D56" s="77">
        <v>223393269</v>
      </c>
      <c r="E56" s="78">
        <v>85903890</v>
      </c>
      <c r="F56" s="79">
        <f t="shared" si="16"/>
        <v>309297159</v>
      </c>
      <c r="G56" s="77">
        <v>223393269</v>
      </c>
      <c r="H56" s="78">
        <v>108847588</v>
      </c>
      <c r="I56" s="80">
        <f t="shared" si="17"/>
        <v>332240857</v>
      </c>
      <c r="J56" s="77">
        <v>21912906</v>
      </c>
      <c r="K56" s="78">
        <v>11350143</v>
      </c>
      <c r="L56" s="78">
        <f t="shared" si="18"/>
        <v>33263049</v>
      </c>
      <c r="M56" s="40">
        <f t="shared" si="19"/>
        <v>0.10754398490934733</v>
      </c>
      <c r="N56" s="105">
        <v>4561395</v>
      </c>
      <c r="O56" s="106">
        <v>5789722</v>
      </c>
      <c r="P56" s="107">
        <f t="shared" si="20"/>
        <v>10351117</v>
      </c>
      <c r="Q56" s="40">
        <f t="shared" si="21"/>
        <v>0.03346657639360987</v>
      </c>
      <c r="R56" s="105">
        <v>11689683</v>
      </c>
      <c r="S56" s="107">
        <v>18821351</v>
      </c>
      <c r="T56" s="107">
        <f t="shared" si="22"/>
        <v>30511034</v>
      </c>
      <c r="U56" s="40">
        <f t="shared" si="23"/>
        <v>0.09183408168249457</v>
      </c>
      <c r="V56" s="105">
        <v>0</v>
      </c>
      <c r="W56" s="107">
        <v>0</v>
      </c>
      <c r="X56" s="107">
        <f t="shared" si="24"/>
        <v>0</v>
      </c>
      <c r="Y56" s="40">
        <f t="shared" si="25"/>
        <v>0</v>
      </c>
      <c r="Z56" s="77">
        <f t="shared" si="26"/>
        <v>38163984</v>
      </c>
      <c r="AA56" s="78">
        <f t="shared" si="27"/>
        <v>35961216</v>
      </c>
      <c r="AB56" s="78">
        <f t="shared" si="28"/>
        <v>74125200</v>
      </c>
      <c r="AC56" s="40">
        <f t="shared" si="29"/>
        <v>0.22310681675131847</v>
      </c>
      <c r="AD56" s="77">
        <v>8584217</v>
      </c>
      <c r="AE56" s="78">
        <v>18669048</v>
      </c>
      <c r="AF56" s="78">
        <f t="shared" si="30"/>
        <v>27253265</v>
      </c>
      <c r="AG56" s="40">
        <f>IF(310560708=0,0,125934314/310560708)</f>
        <v>0.4055062690029674</v>
      </c>
      <c r="AH56" s="40">
        <f t="shared" si="31"/>
        <v>0.11953683347664956</v>
      </c>
      <c r="AI56" s="12">
        <v>261596072</v>
      </c>
      <c r="AJ56" s="12">
        <v>310560708</v>
      </c>
      <c r="AK56" s="12">
        <v>125934314</v>
      </c>
      <c r="AL56" s="12"/>
    </row>
    <row r="57" spans="1:38" s="13" customFormat="1" ht="12.75">
      <c r="A57" s="29" t="s">
        <v>96</v>
      </c>
      <c r="B57" s="60" t="s">
        <v>183</v>
      </c>
      <c r="C57" s="39" t="s">
        <v>184</v>
      </c>
      <c r="D57" s="77">
        <v>252378030</v>
      </c>
      <c r="E57" s="78">
        <v>93606219</v>
      </c>
      <c r="F57" s="79">
        <f t="shared" si="16"/>
        <v>345984249</v>
      </c>
      <c r="G57" s="77">
        <v>256704433</v>
      </c>
      <c r="H57" s="78">
        <v>95267676</v>
      </c>
      <c r="I57" s="80">
        <f t="shared" si="17"/>
        <v>351972109</v>
      </c>
      <c r="J57" s="77">
        <v>95360194</v>
      </c>
      <c r="K57" s="78">
        <v>24198083</v>
      </c>
      <c r="L57" s="78">
        <f t="shared" si="18"/>
        <v>119558277</v>
      </c>
      <c r="M57" s="40">
        <f t="shared" si="19"/>
        <v>0.3455598841437432</v>
      </c>
      <c r="N57" s="105">
        <v>71209146</v>
      </c>
      <c r="O57" s="106">
        <v>25879171</v>
      </c>
      <c r="P57" s="107">
        <f t="shared" si="20"/>
        <v>97088317</v>
      </c>
      <c r="Q57" s="40">
        <f t="shared" si="21"/>
        <v>0.28061484671806547</v>
      </c>
      <c r="R57" s="105">
        <v>55546705</v>
      </c>
      <c r="S57" s="107">
        <v>15154929</v>
      </c>
      <c r="T57" s="107">
        <f t="shared" si="22"/>
        <v>70701634</v>
      </c>
      <c r="U57" s="40">
        <f t="shared" si="23"/>
        <v>0.200872831091284</v>
      </c>
      <c r="V57" s="105">
        <v>0</v>
      </c>
      <c r="W57" s="107">
        <v>0</v>
      </c>
      <c r="X57" s="107">
        <f t="shared" si="24"/>
        <v>0</v>
      </c>
      <c r="Y57" s="40">
        <f t="shared" si="25"/>
        <v>0</v>
      </c>
      <c r="Z57" s="77">
        <f t="shared" si="26"/>
        <v>222116045</v>
      </c>
      <c r="AA57" s="78">
        <f t="shared" si="27"/>
        <v>65232183</v>
      </c>
      <c r="AB57" s="78">
        <f t="shared" si="28"/>
        <v>287348228</v>
      </c>
      <c r="AC57" s="40">
        <f t="shared" si="29"/>
        <v>0.8163948808796097</v>
      </c>
      <c r="AD57" s="77">
        <v>51964292</v>
      </c>
      <c r="AE57" s="78">
        <v>32452072</v>
      </c>
      <c r="AF57" s="78">
        <f t="shared" si="30"/>
        <v>84416364</v>
      </c>
      <c r="AG57" s="40">
        <f>IF(525057363=0,0,241769198/525057363)</f>
        <v>0.46046244665270986</v>
      </c>
      <c r="AH57" s="40">
        <f t="shared" si="31"/>
        <v>-0.162465301158908</v>
      </c>
      <c r="AI57" s="12">
        <v>478918463</v>
      </c>
      <c r="AJ57" s="12">
        <v>525057363</v>
      </c>
      <c r="AK57" s="12">
        <v>241769198</v>
      </c>
      <c r="AL57" s="12"/>
    </row>
    <row r="58" spans="1:38" s="13" customFormat="1" ht="12.75">
      <c r="A58" s="29" t="s">
        <v>96</v>
      </c>
      <c r="B58" s="60" t="s">
        <v>185</v>
      </c>
      <c r="C58" s="39" t="s">
        <v>186</v>
      </c>
      <c r="D58" s="77">
        <v>117665223</v>
      </c>
      <c r="E58" s="78">
        <v>111536150</v>
      </c>
      <c r="F58" s="79">
        <f t="shared" si="16"/>
        <v>229201373</v>
      </c>
      <c r="G58" s="77">
        <v>123028197</v>
      </c>
      <c r="H58" s="78">
        <v>112965591</v>
      </c>
      <c r="I58" s="79">
        <f t="shared" si="17"/>
        <v>235993788</v>
      </c>
      <c r="J58" s="77">
        <v>46367326</v>
      </c>
      <c r="K58" s="91">
        <v>11821821</v>
      </c>
      <c r="L58" s="78">
        <f t="shared" si="18"/>
        <v>58189147</v>
      </c>
      <c r="M58" s="40">
        <f t="shared" si="19"/>
        <v>0.2538778290826382</v>
      </c>
      <c r="N58" s="105">
        <v>10199260</v>
      </c>
      <c r="O58" s="106">
        <v>19129490</v>
      </c>
      <c r="P58" s="107">
        <f t="shared" si="20"/>
        <v>29328750</v>
      </c>
      <c r="Q58" s="40">
        <f t="shared" si="21"/>
        <v>0.1279606208990729</v>
      </c>
      <c r="R58" s="105">
        <v>35162209</v>
      </c>
      <c r="S58" s="107">
        <v>18513933</v>
      </c>
      <c r="T58" s="107">
        <f t="shared" si="22"/>
        <v>53676142</v>
      </c>
      <c r="U58" s="40">
        <f t="shared" si="23"/>
        <v>0.2274472665356768</v>
      </c>
      <c r="V58" s="105">
        <v>0</v>
      </c>
      <c r="W58" s="107">
        <v>0</v>
      </c>
      <c r="X58" s="107">
        <f t="shared" si="24"/>
        <v>0</v>
      </c>
      <c r="Y58" s="40">
        <f t="shared" si="25"/>
        <v>0</v>
      </c>
      <c r="Z58" s="77">
        <f t="shared" si="26"/>
        <v>91728795</v>
      </c>
      <c r="AA58" s="78">
        <f t="shared" si="27"/>
        <v>49465244</v>
      </c>
      <c r="AB58" s="78">
        <f t="shared" si="28"/>
        <v>141194039</v>
      </c>
      <c r="AC58" s="40">
        <f t="shared" si="29"/>
        <v>0.598295574627583</v>
      </c>
      <c r="AD58" s="77">
        <v>24085088</v>
      </c>
      <c r="AE58" s="78">
        <v>21431316</v>
      </c>
      <c r="AF58" s="78">
        <f t="shared" si="30"/>
        <v>45516404</v>
      </c>
      <c r="AG58" s="40">
        <f>IF(167055912=0,0,91814791/167055912)</f>
        <v>0.5496051585411715</v>
      </c>
      <c r="AH58" s="40">
        <f t="shared" si="31"/>
        <v>0.17927026924183198</v>
      </c>
      <c r="AI58" s="12">
        <v>152112289</v>
      </c>
      <c r="AJ58" s="12">
        <v>167055912</v>
      </c>
      <c r="AK58" s="12">
        <v>91814791</v>
      </c>
      <c r="AL58" s="12"/>
    </row>
    <row r="59" spans="1:38" s="13" customFormat="1" ht="12.75">
      <c r="A59" s="29" t="s">
        <v>115</v>
      </c>
      <c r="B59" s="60" t="s">
        <v>187</v>
      </c>
      <c r="C59" s="39" t="s">
        <v>188</v>
      </c>
      <c r="D59" s="77">
        <v>617364144</v>
      </c>
      <c r="E59" s="78">
        <v>723401033</v>
      </c>
      <c r="F59" s="79">
        <f t="shared" si="16"/>
        <v>1340765177</v>
      </c>
      <c r="G59" s="77">
        <v>631756078</v>
      </c>
      <c r="H59" s="78">
        <v>635211858</v>
      </c>
      <c r="I59" s="79">
        <f t="shared" si="17"/>
        <v>1266967936</v>
      </c>
      <c r="J59" s="77">
        <v>310473894</v>
      </c>
      <c r="K59" s="91">
        <v>154582886</v>
      </c>
      <c r="L59" s="78">
        <f t="shared" si="18"/>
        <v>465056780</v>
      </c>
      <c r="M59" s="40">
        <f t="shared" si="19"/>
        <v>0.3468592323083582</v>
      </c>
      <c r="N59" s="105">
        <v>135668861</v>
      </c>
      <c r="O59" s="106">
        <v>208554785</v>
      </c>
      <c r="P59" s="107">
        <f t="shared" si="20"/>
        <v>344223646</v>
      </c>
      <c r="Q59" s="40">
        <f t="shared" si="21"/>
        <v>0.2567367141576649</v>
      </c>
      <c r="R59" s="105">
        <v>92982128</v>
      </c>
      <c r="S59" s="107">
        <v>32946112</v>
      </c>
      <c r="T59" s="107">
        <f t="shared" si="22"/>
        <v>125928240</v>
      </c>
      <c r="U59" s="40">
        <f t="shared" si="23"/>
        <v>0.09939339143622969</v>
      </c>
      <c r="V59" s="105">
        <v>0</v>
      </c>
      <c r="W59" s="107">
        <v>0</v>
      </c>
      <c r="X59" s="107">
        <f t="shared" si="24"/>
        <v>0</v>
      </c>
      <c r="Y59" s="40">
        <f t="shared" si="25"/>
        <v>0</v>
      </c>
      <c r="Z59" s="77">
        <f t="shared" si="26"/>
        <v>539124883</v>
      </c>
      <c r="AA59" s="78">
        <f t="shared" si="27"/>
        <v>396083783</v>
      </c>
      <c r="AB59" s="78">
        <f t="shared" si="28"/>
        <v>935208666</v>
      </c>
      <c r="AC59" s="40">
        <f t="shared" si="29"/>
        <v>0.7381470670462177</v>
      </c>
      <c r="AD59" s="77">
        <v>104183156</v>
      </c>
      <c r="AE59" s="78">
        <v>177195345</v>
      </c>
      <c r="AF59" s="78">
        <f t="shared" si="30"/>
        <v>281378501</v>
      </c>
      <c r="AG59" s="40">
        <f>IF(1528391834=0,0,1045778766/1528391834)</f>
        <v>0.6842347248500151</v>
      </c>
      <c r="AH59" s="40">
        <f t="shared" si="31"/>
        <v>-0.5524596244828244</v>
      </c>
      <c r="AI59" s="12">
        <v>1508214110</v>
      </c>
      <c r="AJ59" s="12">
        <v>1528391834</v>
      </c>
      <c r="AK59" s="12">
        <v>1045778766</v>
      </c>
      <c r="AL59" s="12"/>
    </row>
    <row r="60" spans="1:38" s="56" customFormat="1" ht="12.75">
      <c r="A60" s="61"/>
      <c r="B60" s="62" t="s">
        <v>189</v>
      </c>
      <c r="C60" s="32"/>
      <c r="D60" s="81">
        <f>SUM(D55:D59)</f>
        <v>1500787425</v>
      </c>
      <c r="E60" s="82">
        <f>SUM(E55:E59)</f>
        <v>1158053695</v>
      </c>
      <c r="F60" s="83">
        <f t="shared" si="16"/>
        <v>2658841120</v>
      </c>
      <c r="G60" s="81">
        <f>SUM(G55:G59)</f>
        <v>1526560099</v>
      </c>
      <c r="H60" s="82">
        <f>SUM(H55:H59)</f>
        <v>1078849600</v>
      </c>
      <c r="I60" s="90">
        <f t="shared" si="17"/>
        <v>2605409699</v>
      </c>
      <c r="J60" s="81">
        <f>SUM(J55:J59)</f>
        <v>583131670</v>
      </c>
      <c r="K60" s="92">
        <f>SUM(K55:K59)</f>
        <v>237719387</v>
      </c>
      <c r="L60" s="82">
        <f t="shared" si="18"/>
        <v>820851057</v>
      </c>
      <c r="M60" s="44">
        <f t="shared" si="19"/>
        <v>0.3087251249521822</v>
      </c>
      <c r="N60" s="111">
        <f>SUM(N55:N59)</f>
        <v>300827973</v>
      </c>
      <c r="O60" s="112">
        <f>SUM(O55:O59)</f>
        <v>290088170</v>
      </c>
      <c r="P60" s="113">
        <f t="shared" si="20"/>
        <v>590916143</v>
      </c>
      <c r="Q60" s="44">
        <f t="shared" si="21"/>
        <v>0.22224575156262064</v>
      </c>
      <c r="R60" s="111">
        <f>SUM(R55:R59)</f>
        <v>266049503</v>
      </c>
      <c r="S60" s="113">
        <f>SUM(S55:S59)</f>
        <v>98369650</v>
      </c>
      <c r="T60" s="113">
        <f t="shared" si="22"/>
        <v>364419153</v>
      </c>
      <c r="U60" s="44">
        <f t="shared" si="23"/>
        <v>0.1398701912946245</v>
      </c>
      <c r="V60" s="111">
        <f>SUM(V55:V59)</f>
        <v>0</v>
      </c>
      <c r="W60" s="113">
        <f>SUM(W55:W59)</f>
        <v>0</v>
      </c>
      <c r="X60" s="113">
        <f t="shared" si="24"/>
        <v>0</v>
      </c>
      <c r="Y60" s="44">
        <f t="shared" si="25"/>
        <v>0</v>
      </c>
      <c r="Z60" s="81">
        <f t="shared" si="26"/>
        <v>1150009146</v>
      </c>
      <c r="AA60" s="82">
        <f t="shared" si="27"/>
        <v>626177207</v>
      </c>
      <c r="AB60" s="82">
        <f t="shared" si="28"/>
        <v>1776186353</v>
      </c>
      <c r="AC60" s="44">
        <f t="shared" si="29"/>
        <v>0.6817301531047997</v>
      </c>
      <c r="AD60" s="81">
        <f>SUM(AD55:AD59)</f>
        <v>252562875</v>
      </c>
      <c r="AE60" s="82">
        <f>SUM(AE55:AE59)</f>
        <v>265948704</v>
      </c>
      <c r="AF60" s="82">
        <f t="shared" si="30"/>
        <v>518511579</v>
      </c>
      <c r="AG60" s="44">
        <f>IF(1528391834=0,0,1045778766/1528391834)</f>
        <v>0.6842347248500151</v>
      </c>
      <c r="AH60" s="44">
        <f t="shared" si="31"/>
        <v>-0.29718222743874345</v>
      </c>
      <c r="AI60" s="63">
        <f>SUM(AI55:AI59)</f>
        <v>2846821084</v>
      </c>
      <c r="AJ60" s="63">
        <f>SUM(AJ55:AJ59)</f>
        <v>2965514647</v>
      </c>
      <c r="AK60" s="63">
        <f>SUM(AK55:AK59)</f>
        <v>1791009166</v>
      </c>
      <c r="AL60" s="63"/>
    </row>
    <row r="61" spans="1:38" s="56" customFormat="1" ht="12.75">
      <c r="A61" s="61"/>
      <c r="B61" s="62" t="s">
        <v>190</v>
      </c>
      <c r="C61" s="32"/>
      <c r="D61" s="81">
        <f>SUM(D9:D10,D12:D21,D23:D30,D32:D40,D42:D46,D48:D53,D55:D59)</f>
        <v>28109200907</v>
      </c>
      <c r="E61" s="82">
        <f>SUM(E9:E10,E12:E21,E23:E30,E32:E40,E42:E46,E48:E53,E55:E59)</f>
        <v>8365649699</v>
      </c>
      <c r="F61" s="83">
        <f t="shared" si="16"/>
        <v>36474850606</v>
      </c>
      <c r="G61" s="81">
        <f>SUM(G9:G10,G12:G21,G23:G30,G32:G40,G42:G46,G48:G53,G55:G59)</f>
        <v>27361989609</v>
      </c>
      <c r="H61" s="82">
        <f>SUM(H9:H10,H12:H21,H23:H30,H32:H40,H42:H46,H48:H53,H55:H59)</f>
        <v>7926153384</v>
      </c>
      <c r="I61" s="90">
        <f t="shared" si="17"/>
        <v>35288142993</v>
      </c>
      <c r="J61" s="81">
        <f>SUM(J9:J10,J12:J21,J23:J30,J32:J40,J42:J46,J48:J53,J55:J59)</f>
        <v>8180427618</v>
      </c>
      <c r="K61" s="92">
        <f>SUM(K9:K10,K12:K21,K23:K30,K32:K40,K42:K46,K48:K53,K55:K59)</f>
        <v>1279851781</v>
      </c>
      <c r="L61" s="82">
        <f t="shared" si="18"/>
        <v>9460279399</v>
      </c>
      <c r="M61" s="44">
        <f t="shared" si="19"/>
        <v>0.2593644454144471</v>
      </c>
      <c r="N61" s="111">
        <f>SUM(N9:N10,N12:N21,N23:N30,N32:N40,N42:N46,N48:N53,N55:N59)</f>
        <v>6911519814</v>
      </c>
      <c r="O61" s="112">
        <f>SUM(O9:O10,O12:O21,O23:O30,O32:O40,O42:O46,O48:O53,O55:O59)</f>
        <v>1804148139</v>
      </c>
      <c r="P61" s="113">
        <f t="shared" si="20"/>
        <v>8715667953</v>
      </c>
      <c r="Q61" s="44">
        <f t="shared" si="21"/>
        <v>0.23895006581785147</v>
      </c>
      <c r="R61" s="111">
        <f>SUM(R9:R10,R12:R21,R23:R30,R32:R40,R42:R46,R48:R53,R55:R59)</f>
        <v>7005499118</v>
      </c>
      <c r="S61" s="113">
        <f>SUM(S9:S10,S12:S21,S23:S30,S32:S40,S42:S46,S48:S53,S55:S59)</f>
        <v>1055413885</v>
      </c>
      <c r="T61" s="113">
        <f t="shared" si="22"/>
        <v>8060913003</v>
      </c>
      <c r="U61" s="44">
        <f t="shared" si="23"/>
        <v>0.22843120434529576</v>
      </c>
      <c r="V61" s="111">
        <f>SUM(V9:V10,V12:V21,V23:V30,V32:V40,V42:V46,V48:V53,V55:V59)</f>
        <v>0</v>
      </c>
      <c r="W61" s="113">
        <f>SUM(W9:W10,W12:W21,W23:W30,W32:W40,W42:W46,W48:W53,W55:W59)</f>
        <v>0</v>
      </c>
      <c r="X61" s="113">
        <f t="shared" si="24"/>
        <v>0</v>
      </c>
      <c r="Y61" s="44">
        <f t="shared" si="25"/>
        <v>0</v>
      </c>
      <c r="Z61" s="81">
        <f t="shared" si="26"/>
        <v>22097446550</v>
      </c>
      <c r="AA61" s="82">
        <f t="shared" si="27"/>
        <v>4139413805</v>
      </c>
      <c r="AB61" s="82">
        <f t="shared" si="28"/>
        <v>26236860355</v>
      </c>
      <c r="AC61" s="44">
        <f t="shared" si="29"/>
        <v>0.7435035717295899</v>
      </c>
      <c r="AD61" s="81">
        <f>SUM(AD9:AD10,AD12:AD21,AD23:AD30,AD32:AD40,AD42:AD46,AD48:AD53,AD55:AD59)</f>
        <v>6258587866</v>
      </c>
      <c r="AE61" s="82">
        <f>SUM(AE9:AE10,AE12:AE21,AE23:AE30,AE32:AE40,AE42:AE46,AE48:AE53,AE55:AE59)</f>
        <v>1353148977</v>
      </c>
      <c r="AF61" s="82">
        <f t="shared" si="30"/>
        <v>7611736843</v>
      </c>
      <c r="AG61" s="44">
        <f>IF(1528391834=0,0,1045778766/1528391834)</f>
        <v>0.6842347248500151</v>
      </c>
      <c r="AH61" s="44">
        <f t="shared" si="31"/>
        <v>0.059010994371550884</v>
      </c>
      <c r="AI61" s="63">
        <f>SUM(AI9:AI10,AI12:AI21,AI23:AI30,AI32:AI40,AI42:AI46,AI48:AI53,AI55:AI59)</f>
        <v>32050474281</v>
      </c>
      <c r="AJ61" s="63">
        <f>SUM(AJ9:AJ10,AJ12:AJ21,AJ23:AJ30,AJ32:AJ40,AJ42:AJ46,AJ48:AJ53,AJ55:AJ59)</f>
        <v>32766834865</v>
      </c>
      <c r="AK61" s="63">
        <f>SUM(AK9:AK10,AK12:AK21,AK23:AK30,AK32:AK40,AK42:AK46,AK48:AK53,AK55:AK59)</f>
        <v>23362991628</v>
      </c>
      <c r="AL61" s="63"/>
    </row>
    <row r="62" spans="1:38" s="13" customFormat="1" ht="12.75">
      <c r="A62" s="64"/>
      <c r="B62" s="65"/>
      <c r="C62" s="66"/>
      <c r="D62" s="93"/>
      <c r="E62" s="93"/>
      <c r="F62" s="94"/>
      <c r="G62" s="95"/>
      <c r="H62" s="93"/>
      <c r="I62" s="96"/>
      <c r="J62" s="95"/>
      <c r="K62" s="97"/>
      <c r="L62" s="93"/>
      <c r="M62" s="70"/>
      <c r="N62" s="95"/>
      <c r="O62" s="97"/>
      <c r="P62" s="93"/>
      <c r="Q62" s="70"/>
      <c r="R62" s="95"/>
      <c r="S62" s="97"/>
      <c r="T62" s="93"/>
      <c r="U62" s="70"/>
      <c r="V62" s="95"/>
      <c r="W62" s="97"/>
      <c r="X62" s="93"/>
      <c r="Y62" s="70"/>
      <c r="Z62" s="95"/>
      <c r="AA62" s="97"/>
      <c r="AB62" s="93"/>
      <c r="AC62" s="70"/>
      <c r="AD62" s="95"/>
      <c r="AE62" s="93"/>
      <c r="AF62" s="93"/>
      <c r="AG62" s="70"/>
      <c r="AH62" s="70"/>
      <c r="AI62" s="12"/>
      <c r="AJ62" s="12"/>
      <c r="AK62" s="12"/>
      <c r="AL62" s="12"/>
    </row>
    <row r="63" spans="1:38" s="13" customFormat="1" ht="12.75" customHeight="1">
      <c r="A63" s="12"/>
      <c r="B63" s="57"/>
      <c r="C63" s="12"/>
      <c r="D63" s="88"/>
      <c r="E63" s="88"/>
      <c r="F63" s="88"/>
      <c r="G63" s="88"/>
      <c r="H63" s="88"/>
      <c r="I63" s="88"/>
      <c r="J63" s="88"/>
      <c r="K63" s="88"/>
      <c r="L63" s="88"/>
      <c r="M63" s="12"/>
      <c r="N63" s="88"/>
      <c r="O63" s="88"/>
      <c r="P63" s="88"/>
      <c r="Q63" s="12"/>
      <c r="R63" s="88"/>
      <c r="S63" s="88"/>
      <c r="T63" s="88"/>
      <c r="U63" s="12"/>
      <c r="V63" s="88"/>
      <c r="W63" s="88"/>
      <c r="X63" s="88"/>
      <c r="Y63" s="12"/>
      <c r="Z63" s="88"/>
      <c r="AA63" s="88"/>
      <c r="AB63" s="88"/>
      <c r="AC63" s="12"/>
      <c r="AD63" s="88"/>
      <c r="AE63" s="88"/>
      <c r="AF63" s="88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8"/>
      <c r="C64" s="58"/>
      <c r="D64" s="100"/>
      <c r="E64" s="100"/>
      <c r="F64" s="100"/>
      <c r="G64" s="100"/>
      <c r="H64" s="100"/>
      <c r="I64" s="100"/>
      <c r="J64" s="100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7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0" t="s">
        <v>50</v>
      </c>
      <c r="C9" s="39" t="s">
        <v>51</v>
      </c>
      <c r="D9" s="77">
        <v>6740247066</v>
      </c>
      <c r="E9" s="78">
        <v>1793890539</v>
      </c>
      <c r="F9" s="79">
        <f>$D9+$E9</f>
        <v>8534137605</v>
      </c>
      <c r="G9" s="77">
        <v>6071537240</v>
      </c>
      <c r="H9" s="78">
        <v>1851179482</v>
      </c>
      <c r="I9" s="80">
        <f>$G9+$H9</f>
        <v>7922716722</v>
      </c>
      <c r="J9" s="77">
        <v>1708295098</v>
      </c>
      <c r="K9" s="78">
        <v>242491694</v>
      </c>
      <c r="L9" s="78">
        <f>$J9+$K9</f>
        <v>1950786792</v>
      </c>
      <c r="M9" s="40">
        <f>IF($F9=0,0,$L9/$F9)</f>
        <v>0.22858628279640916</v>
      </c>
      <c r="N9" s="105">
        <v>1098256003</v>
      </c>
      <c r="O9" s="106">
        <v>461320626</v>
      </c>
      <c r="P9" s="107">
        <f>$N9+$O9</f>
        <v>1559576629</v>
      </c>
      <c r="Q9" s="40">
        <f>IF($F9=0,0,$P9/$F9)</f>
        <v>0.18274566232518583</v>
      </c>
      <c r="R9" s="105">
        <v>1351141375</v>
      </c>
      <c r="S9" s="107">
        <v>354949246</v>
      </c>
      <c r="T9" s="107">
        <f>$R9+$S9</f>
        <v>1706090621</v>
      </c>
      <c r="U9" s="40">
        <f>IF($I9=0,0,$T9/$I9)</f>
        <v>0.2153416158705365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4157692476</v>
      </c>
      <c r="AA9" s="78">
        <f>$K9+$O9+$S9</f>
        <v>1058761566</v>
      </c>
      <c r="AB9" s="78">
        <f>$Z9+$AA9</f>
        <v>5216454042</v>
      </c>
      <c r="AC9" s="40">
        <f>IF($I9=0,0,$AB9/$I9)</f>
        <v>0.6584173365071628</v>
      </c>
      <c r="AD9" s="77">
        <v>1368981060</v>
      </c>
      <c r="AE9" s="78">
        <v>265256420</v>
      </c>
      <c r="AF9" s="78">
        <f>$AD9+$AE9</f>
        <v>1634237480</v>
      </c>
      <c r="AG9" s="40">
        <f>IF(7287910235=0,0,5051705031/7287910235)</f>
        <v>0.6931623563006193</v>
      </c>
      <c r="AH9" s="40">
        <f>IF($AF9=0,0,(($T9/$AF9)-1))</f>
        <v>0.04396738043237147</v>
      </c>
      <c r="AI9" s="12">
        <v>7782056736</v>
      </c>
      <c r="AJ9" s="12">
        <v>7287910235</v>
      </c>
      <c r="AK9" s="12">
        <v>5051705031</v>
      </c>
      <c r="AL9" s="12"/>
    </row>
    <row r="10" spans="1:38" s="56" customFormat="1" ht="12.75">
      <c r="A10" s="61"/>
      <c r="B10" s="62" t="s">
        <v>95</v>
      </c>
      <c r="C10" s="32"/>
      <c r="D10" s="81">
        <f>D9</f>
        <v>6740247066</v>
      </c>
      <c r="E10" s="82">
        <f>E9</f>
        <v>1793890539</v>
      </c>
      <c r="F10" s="90">
        <f aca="true" t="shared" si="0" ref="F10:F38">$D10+$E10</f>
        <v>8534137605</v>
      </c>
      <c r="G10" s="81">
        <f>G9</f>
        <v>6071537240</v>
      </c>
      <c r="H10" s="82">
        <f>H9</f>
        <v>1851179482</v>
      </c>
      <c r="I10" s="83">
        <f aca="true" t="shared" si="1" ref="I10:I38">$G10+$H10</f>
        <v>7922716722</v>
      </c>
      <c r="J10" s="81">
        <f>J9</f>
        <v>1708295098</v>
      </c>
      <c r="K10" s="82">
        <f>K9</f>
        <v>242491694</v>
      </c>
      <c r="L10" s="82">
        <f aca="true" t="shared" si="2" ref="L10:L38">$J10+$K10</f>
        <v>1950786792</v>
      </c>
      <c r="M10" s="44">
        <f aca="true" t="shared" si="3" ref="M10:M38">IF($F10=0,0,$L10/$F10)</f>
        <v>0.22858628279640916</v>
      </c>
      <c r="N10" s="111">
        <f>N9</f>
        <v>1098256003</v>
      </c>
      <c r="O10" s="112">
        <f>O9</f>
        <v>461320626</v>
      </c>
      <c r="P10" s="113">
        <f aca="true" t="shared" si="4" ref="P10:P38">$N10+$O10</f>
        <v>1559576629</v>
      </c>
      <c r="Q10" s="44">
        <f aca="true" t="shared" si="5" ref="Q10:Q38">IF($F10=0,0,$P10/$F10)</f>
        <v>0.18274566232518583</v>
      </c>
      <c r="R10" s="111">
        <f>R9</f>
        <v>1351141375</v>
      </c>
      <c r="S10" s="113">
        <f>S9</f>
        <v>354949246</v>
      </c>
      <c r="T10" s="113">
        <f aca="true" t="shared" si="6" ref="T10:T38">$R10+$S10</f>
        <v>1706090621</v>
      </c>
      <c r="U10" s="44">
        <f aca="true" t="shared" si="7" ref="U10:U38">IF($I10=0,0,$T10/$I10)</f>
        <v>0.2153416158705365</v>
      </c>
      <c r="V10" s="111">
        <f>V9</f>
        <v>0</v>
      </c>
      <c r="W10" s="113">
        <f>W9</f>
        <v>0</v>
      </c>
      <c r="X10" s="113">
        <f aca="true" t="shared" si="8" ref="X10:X38">$V10+$W10</f>
        <v>0</v>
      </c>
      <c r="Y10" s="44">
        <f aca="true" t="shared" si="9" ref="Y10:Y38">IF($I10=0,0,$X10/$I10)</f>
        <v>0</v>
      </c>
      <c r="Z10" s="81">
        <f aca="true" t="shared" si="10" ref="Z10:Z38">$J10+$N10+$R10</f>
        <v>4157692476</v>
      </c>
      <c r="AA10" s="82">
        <f aca="true" t="shared" si="11" ref="AA10:AA38">$K10+$O10+$S10</f>
        <v>1058761566</v>
      </c>
      <c r="AB10" s="82">
        <f aca="true" t="shared" si="12" ref="AB10:AB38">$Z10+$AA10</f>
        <v>5216454042</v>
      </c>
      <c r="AC10" s="44">
        <f aca="true" t="shared" si="13" ref="AC10:AC38">IF($I10=0,0,$AB10/$I10)</f>
        <v>0.6584173365071628</v>
      </c>
      <c r="AD10" s="81">
        <f>AD9</f>
        <v>1368981060</v>
      </c>
      <c r="AE10" s="82">
        <f>AE9</f>
        <v>265256420</v>
      </c>
      <c r="AF10" s="82">
        <f aca="true" t="shared" si="14" ref="AF10:AF38">$AD10+$AE10</f>
        <v>1634237480</v>
      </c>
      <c r="AG10" s="44">
        <f>IF(7287910235=0,0,5051705031/7287910235)</f>
        <v>0.6931623563006193</v>
      </c>
      <c r="AH10" s="44">
        <f aca="true" t="shared" si="15" ref="AH10:AH38">IF($AF10=0,0,(($T10/$AF10)-1))</f>
        <v>0.04396738043237147</v>
      </c>
      <c r="AI10" s="63">
        <f>AI9</f>
        <v>7782056736</v>
      </c>
      <c r="AJ10" s="63">
        <f>AJ9</f>
        <v>7287910235</v>
      </c>
      <c r="AK10" s="63">
        <f>AK9</f>
        <v>5051705031</v>
      </c>
      <c r="AL10" s="63"/>
    </row>
    <row r="11" spans="1:38" s="13" customFormat="1" ht="12.75">
      <c r="A11" s="29" t="s">
        <v>96</v>
      </c>
      <c r="B11" s="60" t="s">
        <v>191</v>
      </c>
      <c r="C11" s="39" t="s">
        <v>192</v>
      </c>
      <c r="D11" s="77">
        <v>132926556</v>
      </c>
      <c r="E11" s="78">
        <v>66806936</v>
      </c>
      <c r="F11" s="79">
        <f t="shared" si="0"/>
        <v>199733492</v>
      </c>
      <c r="G11" s="77">
        <v>115543849</v>
      </c>
      <c r="H11" s="78">
        <v>22219295</v>
      </c>
      <c r="I11" s="80">
        <f t="shared" si="1"/>
        <v>137763144</v>
      </c>
      <c r="J11" s="77">
        <v>36826021</v>
      </c>
      <c r="K11" s="78">
        <v>1989935</v>
      </c>
      <c r="L11" s="78">
        <f t="shared" si="2"/>
        <v>38815956</v>
      </c>
      <c r="M11" s="40">
        <f t="shared" si="3"/>
        <v>0.1943387441501298</v>
      </c>
      <c r="N11" s="105">
        <v>30539101</v>
      </c>
      <c r="O11" s="106">
        <v>7287343</v>
      </c>
      <c r="P11" s="107">
        <f t="shared" si="4"/>
        <v>37826444</v>
      </c>
      <c r="Q11" s="40">
        <f t="shared" si="5"/>
        <v>0.18938458253160667</v>
      </c>
      <c r="R11" s="105">
        <v>27950370</v>
      </c>
      <c r="S11" s="107">
        <v>3126409</v>
      </c>
      <c r="T11" s="107">
        <f t="shared" si="6"/>
        <v>31076779</v>
      </c>
      <c r="U11" s="40">
        <f t="shared" si="7"/>
        <v>0.22558122657247137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95315492</v>
      </c>
      <c r="AA11" s="78">
        <f t="shared" si="11"/>
        <v>12403687</v>
      </c>
      <c r="AB11" s="78">
        <f t="shared" si="12"/>
        <v>107719179</v>
      </c>
      <c r="AC11" s="40">
        <f t="shared" si="13"/>
        <v>0.7819158003536854</v>
      </c>
      <c r="AD11" s="77">
        <v>10819803</v>
      </c>
      <c r="AE11" s="78">
        <v>4780712</v>
      </c>
      <c r="AF11" s="78">
        <f t="shared" si="14"/>
        <v>15600515</v>
      </c>
      <c r="AG11" s="40">
        <f>IF(150775939=0,0,58735100/150775939)</f>
        <v>0.38955220832682064</v>
      </c>
      <c r="AH11" s="40">
        <f t="shared" si="15"/>
        <v>0.992035455239779</v>
      </c>
      <c r="AI11" s="12">
        <v>155559351</v>
      </c>
      <c r="AJ11" s="12">
        <v>150775939</v>
      </c>
      <c r="AK11" s="12">
        <v>58735100</v>
      </c>
      <c r="AL11" s="12"/>
    </row>
    <row r="12" spans="1:38" s="13" customFormat="1" ht="12.75">
      <c r="A12" s="29" t="s">
        <v>96</v>
      </c>
      <c r="B12" s="60" t="s">
        <v>193</v>
      </c>
      <c r="C12" s="39" t="s">
        <v>194</v>
      </c>
      <c r="D12" s="77">
        <v>231798750</v>
      </c>
      <c r="E12" s="78">
        <v>56714000</v>
      </c>
      <c r="F12" s="79">
        <f t="shared" si="0"/>
        <v>288512750</v>
      </c>
      <c r="G12" s="77">
        <v>248109048</v>
      </c>
      <c r="H12" s="78">
        <v>45701000</v>
      </c>
      <c r="I12" s="80">
        <f t="shared" si="1"/>
        <v>293810048</v>
      </c>
      <c r="J12" s="77">
        <v>53297089</v>
      </c>
      <c r="K12" s="78">
        <v>1770069</v>
      </c>
      <c r="L12" s="78">
        <f t="shared" si="2"/>
        <v>55067158</v>
      </c>
      <c r="M12" s="40">
        <f t="shared" si="3"/>
        <v>0.19086559606117928</v>
      </c>
      <c r="N12" s="105">
        <v>72885026</v>
      </c>
      <c r="O12" s="106">
        <v>2116884</v>
      </c>
      <c r="P12" s="107">
        <f t="shared" si="4"/>
        <v>75001910</v>
      </c>
      <c r="Q12" s="40">
        <f t="shared" si="5"/>
        <v>0.25996046968461534</v>
      </c>
      <c r="R12" s="105">
        <v>11292509</v>
      </c>
      <c r="S12" s="107">
        <v>842338</v>
      </c>
      <c r="T12" s="107">
        <f t="shared" si="6"/>
        <v>12134847</v>
      </c>
      <c r="U12" s="40">
        <f t="shared" si="7"/>
        <v>0.04130167461121003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137474624</v>
      </c>
      <c r="AA12" s="78">
        <f t="shared" si="11"/>
        <v>4729291</v>
      </c>
      <c r="AB12" s="78">
        <f t="shared" si="12"/>
        <v>142203915</v>
      </c>
      <c r="AC12" s="40">
        <f t="shared" si="13"/>
        <v>0.48399949548355814</v>
      </c>
      <c r="AD12" s="77">
        <v>41251913</v>
      </c>
      <c r="AE12" s="78">
        <v>6100989</v>
      </c>
      <c r="AF12" s="78">
        <f t="shared" si="14"/>
        <v>47352902</v>
      </c>
      <c r="AG12" s="40">
        <f>IF(250692355=0,0,153713846/250692355)</f>
        <v>0.6131572939270525</v>
      </c>
      <c r="AH12" s="40">
        <f t="shared" si="15"/>
        <v>-0.7437359382958197</v>
      </c>
      <c r="AI12" s="12">
        <v>250692355</v>
      </c>
      <c r="AJ12" s="12">
        <v>250692355</v>
      </c>
      <c r="AK12" s="12">
        <v>153713846</v>
      </c>
      <c r="AL12" s="12"/>
    </row>
    <row r="13" spans="1:38" s="13" customFormat="1" ht="12.75">
      <c r="A13" s="29" t="s">
        <v>96</v>
      </c>
      <c r="B13" s="60" t="s">
        <v>195</v>
      </c>
      <c r="C13" s="39" t="s">
        <v>196</v>
      </c>
      <c r="D13" s="77">
        <v>153349260</v>
      </c>
      <c r="E13" s="78">
        <v>87508100</v>
      </c>
      <c r="F13" s="79">
        <f t="shared" si="0"/>
        <v>240857360</v>
      </c>
      <c r="G13" s="77">
        <v>151433792</v>
      </c>
      <c r="H13" s="78">
        <v>76860000</v>
      </c>
      <c r="I13" s="80">
        <f t="shared" si="1"/>
        <v>228293792</v>
      </c>
      <c r="J13" s="77">
        <v>37775222</v>
      </c>
      <c r="K13" s="78">
        <v>14378749</v>
      </c>
      <c r="L13" s="78">
        <f t="shared" si="2"/>
        <v>52153971</v>
      </c>
      <c r="M13" s="40">
        <f t="shared" si="3"/>
        <v>0.2165346784503492</v>
      </c>
      <c r="N13" s="105">
        <v>22871007</v>
      </c>
      <c r="O13" s="106">
        <v>25856738</v>
      </c>
      <c r="P13" s="107">
        <f t="shared" si="4"/>
        <v>48727745</v>
      </c>
      <c r="Q13" s="40">
        <f t="shared" si="5"/>
        <v>0.20230955367110226</v>
      </c>
      <c r="R13" s="105">
        <v>28905659</v>
      </c>
      <c r="S13" s="107">
        <v>21139070</v>
      </c>
      <c r="T13" s="107">
        <f t="shared" si="6"/>
        <v>50044729</v>
      </c>
      <c r="U13" s="40">
        <f t="shared" si="7"/>
        <v>0.21921195737114044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89551888</v>
      </c>
      <c r="AA13" s="78">
        <f t="shared" si="11"/>
        <v>61374557</v>
      </c>
      <c r="AB13" s="78">
        <f t="shared" si="12"/>
        <v>150926445</v>
      </c>
      <c r="AC13" s="40">
        <f t="shared" si="13"/>
        <v>0.6611062161515106</v>
      </c>
      <c r="AD13" s="77">
        <v>21032817</v>
      </c>
      <c r="AE13" s="78">
        <v>8502302</v>
      </c>
      <c r="AF13" s="78">
        <f t="shared" si="14"/>
        <v>29535119</v>
      </c>
      <c r="AG13" s="40">
        <f>IF(195151520=0,0,107769131/195151520)</f>
        <v>0.5522331109693637</v>
      </c>
      <c r="AH13" s="40">
        <f t="shared" si="15"/>
        <v>0.6944143343387239</v>
      </c>
      <c r="AI13" s="12">
        <v>204767700</v>
      </c>
      <c r="AJ13" s="12">
        <v>195151520</v>
      </c>
      <c r="AK13" s="12">
        <v>107769131</v>
      </c>
      <c r="AL13" s="12"/>
    </row>
    <row r="14" spans="1:38" s="13" customFormat="1" ht="12.75">
      <c r="A14" s="29" t="s">
        <v>96</v>
      </c>
      <c r="B14" s="60" t="s">
        <v>197</v>
      </c>
      <c r="C14" s="39" t="s">
        <v>198</v>
      </c>
      <c r="D14" s="77">
        <v>100080967</v>
      </c>
      <c r="E14" s="78">
        <v>13368000</v>
      </c>
      <c r="F14" s="79">
        <f t="shared" si="0"/>
        <v>113448967</v>
      </c>
      <c r="G14" s="77">
        <v>100080967</v>
      </c>
      <c r="H14" s="78">
        <v>13368000</v>
      </c>
      <c r="I14" s="80">
        <f t="shared" si="1"/>
        <v>113448967</v>
      </c>
      <c r="J14" s="77">
        <v>20892595</v>
      </c>
      <c r="K14" s="78">
        <v>2951273</v>
      </c>
      <c r="L14" s="78">
        <f t="shared" si="2"/>
        <v>23843868</v>
      </c>
      <c r="M14" s="40">
        <f t="shared" si="3"/>
        <v>0.21017263206988918</v>
      </c>
      <c r="N14" s="105">
        <v>13055539</v>
      </c>
      <c r="O14" s="106">
        <v>1138710</v>
      </c>
      <c r="P14" s="107">
        <f t="shared" si="4"/>
        <v>14194249</v>
      </c>
      <c r="Q14" s="40">
        <f t="shared" si="5"/>
        <v>0.12511571832998708</v>
      </c>
      <c r="R14" s="105">
        <v>12617079</v>
      </c>
      <c r="S14" s="107">
        <v>0</v>
      </c>
      <c r="T14" s="107">
        <f t="shared" si="6"/>
        <v>12617079</v>
      </c>
      <c r="U14" s="40">
        <f t="shared" si="7"/>
        <v>0.11121369663947667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46565213</v>
      </c>
      <c r="AA14" s="78">
        <f t="shared" si="11"/>
        <v>4089983</v>
      </c>
      <c r="AB14" s="78">
        <f t="shared" si="12"/>
        <v>50655196</v>
      </c>
      <c r="AC14" s="40">
        <f t="shared" si="13"/>
        <v>0.4465020470393529</v>
      </c>
      <c r="AD14" s="77">
        <v>12570007</v>
      </c>
      <c r="AE14" s="78">
        <v>3765248</v>
      </c>
      <c r="AF14" s="78">
        <f t="shared" si="14"/>
        <v>16335255</v>
      </c>
      <c r="AG14" s="40">
        <f>IF(111363000=0,0,51812855/111363000)</f>
        <v>0.4652609484299094</v>
      </c>
      <c r="AH14" s="40">
        <f t="shared" si="15"/>
        <v>-0.22761664877591448</v>
      </c>
      <c r="AI14" s="12">
        <v>110863716</v>
      </c>
      <c r="AJ14" s="12">
        <v>111363000</v>
      </c>
      <c r="AK14" s="12">
        <v>51812855</v>
      </c>
      <c r="AL14" s="12"/>
    </row>
    <row r="15" spans="1:38" s="13" customFormat="1" ht="12.75">
      <c r="A15" s="29" t="s">
        <v>115</v>
      </c>
      <c r="B15" s="60" t="s">
        <v>199</v>
      </c>
      <c r="C15" s="39" t="s">
        <v>200</v>
      </c>
      <c r="D15" s="77">
        <v>52337065</v>
      </c>
      <c r="E15" s="78">
        <v>915000</v>
      </c>
      <c r="F15" s="79">
        <f t="shared" si="0"/>
        <v>53252065</v>
      </c>
      <c r="G15" s="77">
        <v>52379211</v>
      </c>
      <c r="H15" s="78">
        <v>45800</v>
      </c>
      <c r="I15" s="80">
        <f t="shared" si="1"/>
        <v>52425011</v>
      </c>
      <c r="J15" s="77">
        <v>13152301</v>
      </c>
      <c r="K15" s="78">
        <v>0</v>
      </c>
      <c r="L15" s="78">
        <f t="shared" si="2"/>
        <v>13152301</v>
      </c>
      <c r="M15" s="40">
        <f t="shared" si="3"/>
        <v>0.24698199027587006</v>
      </c>
      <c r="N15" s="105">
        <v>10340855</v>
      </c>
      <c r="O15" s="106">
        <v>0</v>
      </c>
      <c r="P15" s="107">
        <f t="shared" si="4"/>
        <v>10340855</v>
      </c>
      <c r="Q15" s="40">
        <f t="shared" si="5"/>
        <v>0.1941869296523994</v>
      </c>
      <c r="R15" s="105">
        <v>8912337</v>
      </c>
      <c r="S15" s="107">
        <v>0</v>
      </c>
      <c r="T15" s="107">
        <f t="shared" si="6"/>
        <v>8912337</v>
      </c>
      <c r="U15" s="40">
        <f t="shared" si="7"/>
        <v>0.17000162384324535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32405493</v>
      </c>
      <c r="AA15" s="78">
        <f t="shared" si="11"/>
        <v>0</v>
      </c>
      <c r="AB15" s="78">
        <f t="shared" si="12"/>
        <v>32405493</v>
      </c>
      <c r="AC15" s="40">
        <f t="shared" si="13"/>
        <v>0.6181303996292914</v>
      </c>
      <c r="AD15" s="77">
        <v>8218583</v>
      </c>
      <c r="AE15" s="78">
        <v>0</v>
      </c>
      <c r="AF15" s="78">
        <f t="shared" si="14"/>
        <v>8218583</v>
      </c>
      <c r="AG15" s="40">
        <f>IF(62099712=0,0,31941922/62099712)</f>
        <v>0.5143650585690317</v>
      </c>
      <c r="AH15" s="40">
        <f t="shared" si="15"/>
        <v>0.08441284829757145</v>
      </c>
      <c r="AI15" s="12">
        <v>65950372</v>
      </c>
      <c r="AJ15" s="12">
        <v>62099712</v>
      </c>
      <c r="AK15" s="12">
        <v>31941922</v>
      </c>
      <c r="AL15" s="12"/>
    </row>
    <row r="16" spans="1:38" s="56" customFormat="1" ht="12.75">
      <c r="A16" s="61"/>
      <c r="B16" s="62" t="s">
        <v>201</v>
      </c>
      <c r="C16" s="32"/>
      <c r="D16" s="81">
        <f>SUM(D11:D15)</f>
        <v>670492598</v>
      </c>
      <c r="E16" s="82">
        <f>SUM(E11:E15)</f>
        <v>225312036</v>
      </c>
      <c r="F16" s="90">
        <f t="shared" si="0"/>
        <v>895804634</v>
      </c>
      <c r="G16" s="81">
        <f>SUM(G11:G15)</f>
        <v>667546867</v>
      </c>
      <c r="H16" s="82">
        <f>SUM(H11:H15)</f>
        <v>158194095</v>
      </c>
      <c r="I16" s="83">
        <f t="shared" si="1"/>
        <v>825740962</v>
      </c>
      <c r="J16" s="81">
        <f>SUM(J11:J15)</f>
        <v>161943228</v>
      </c>
      <c r="K16" s="82">
        <f>SUM(K11:K15)</f>
        <v>21090026</v>
      </c>
      <c r="L16" s="82">
        <f t="shared" si="2"/>
        <v>183033254</v>
      </c>
      <c r="M16" s="44">
        <f t="shared" si="3"/>
        <v>0.20432273628984152</v>
      </c>
      <c r="N16" s="111">
        <f>SUM(N11:N15)</f>
        <v>149691528</v>
      </c>
      <c r="O16" s="112">
        <f>SUM(O11:O15)</f>
        <v>36399675</v>
      </c>
      <c r="P16" s="113">
        <f t="shared" si="4"/>
        <v>186091203</v>
      </c>
      <c r="Q16" s="44">
        <f t="shared" si="5"/>
        <v>0.20773637011571877</v>
      </c>
      <c r="R16" s="111">
        <f>SUM(R11:R15)</f>
        <v>89677954</v>
      </c>
      <c r="S16" s="113">
        <f>SUM(S11:S15)</f>
        <v>25107817</v>
      </c>
      <c r="T16" s="113">
        <f t="shared" si="6"/>
        <v>114785771</v>
      </c>
      <c r="U16" s="44">
        <f t="shared" si="7"/>
        <v>0.1390094185493489</v>
      </c>
      <c r="V16" s="111">
        <f>SUM(V11:V15)</f>
        <v>0</v>
      </c>
      <c r="W16" s="113">
        <f>SUM(W11:W15)</f>
        <v>0</v>
      </c>
      <c r="X16" s="113">
        <f t="shared" si="8"/>
        <v>0</v>
      </c>
      <c r="Y16" s="44">
        <f t="shared" si="9"/>
        <v>0</v>
      </c>
      <c r="Z16" s="81">
        <f t="shared" si="10"/>
        <v>401312710</v>
      </c>
      <c r="AA16" s="82">
        <f t="shared" si="11"/>
        <v>82597518</v>
      </c>
      <c r="AB16" s="82">
        <f t="shared" si="12"/>
        <v>483910228</v>
      </c>
      <c r="AC16" s="44">
        <f t="shared" si="13"/>
        <v>0.5860315162613914</v>
      </c>
      <c r="AD16" s="81">
        <f>SUM(AD11:AD15)</f>
        <v>93893123</v>
      </c>
      <c r="AE16" s="82">
        <f>SUM(AE11:AE15)</f>
        <v>23149251</v>
      </c>
      <c r="AF16" s="82">
        <f t="shared" si="14"/>
        <v>117042374</v>
      </c>
      <c r="AG16" s="44">
        <f>IF(62099712=0,0,31941922/62099712)</f>
        <v>0.5143650585690317</v>
      </c>
      <c r="AH16" s="44">
        <f t="shared" si="15"/>
        <v>-0.01928022239193472</v>
      </c>
      <c r="AI16" s="63">
        <f>SUM(AI11:AI15)</f>
        <v>787833494</v>
      </c>
      <c r="AJ16" s="63">
        <f>SUM(AJ11:AJ15)</f>
        <v>770082526</v>
      </c>
      <c r="AK16" s="63">
        <f>SUM(AK11:AK15)</f>
        <v>403972854</v>
      </c>
      <c r="AL16" s="63"/>
    </row>
    <row r="17" spans="1:38" s="13" customFormat="1" ht="12.75">
      <c r="A17" s="29" t="s">
        <v>96</v>
      </c>
      <c r="B17" s="60" t="s">
        <v>202</v>
      </c>
      <c r="C17" s="39" t="s">
        <v>203</v>
      </c>
      <c r="D17" s="77">
        <v>205065814</v>
      </c>
      <c r="E17" s="78">
        <v>33789665</v>
      </c>
      <c r="F17" s="79">
        <f t="shared" si="0"/>
        <v>238855479</v>
      </c>
      <c r="G17" s="77">
        <v>230364000</v>
      </c>
      <c r="H17" s="78">
        <v>47979000</v>
      </c>
      <c r="I17" s="80">
        <f t="shared" si="1"/>
        <v>278343000</v>
      </c>
      <c r="J17" s="77">
        <v>79800029</v>
      </c>
      <c r="K17" s="78">
        <v>8748919</v>
      </c>
      <c r="L17" s="78">
        <f t="shared" si="2"/>
        <v>88548948</v>
      </c>
      <c r="M17" s="40">
        <f t="shared" si="3"/>
        <v>0.37072186231909715</v>
      </c>
      <c r="N17" s="105">
        <v>62182111</v>
      </c>
      <c r="O17" s="106">
        <v>7252436</v>
      </c>
      <c r="P17" s="107">
        <f t="shared" si="4"/>
        <v>69434547</v>
      </c>
      <c r="Q17" s="40">
        <f t="shared" si="5"/>
        <v>0.2906968987719976</v>
      </c>
      <c r="R17" s="105">
        <v>36919623</v>
      </c>
      <c r="S17" s="107">
        <v>16366863</v>
      </c>
      <c r="T17" s="107">
        <f t="shared" si="6"/>
        <v>53286486</v>
      </c>
      <c r="U17" s="40">
        <f t="shared" si="7"/>
        <v>0.19144180381759196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178901763</v>
      </c>
      <c r="AA17" s="78">
        <f t="shared" si="11"/>
        <v>32368218</v>
      </c>
      <c r="AB17" s="78">
        <f t="shared" si="12"/>
        <v>211269981</v>
      </c>
      <c r="AC17" s="40">
        <f t="shared" si="13"/>
        <v>0.7590274625192658</v>
      </c>
      <c r="AD17" s="77">
        <v>29683894</v>
      </c>
      <c r="AE17" s="78">
        <v>11926542</v>
      </c>
      <c r="AF17" s="78">
        <f t="shared" si="14"/>
        <v>41610436</v>
      </c>
      <c r="AG17" s="40">
        <f>IF(277082000=0,0,172024444/277082000)</f>
        <v>0.6208430861622192</v>
      </c>
      <c r="AH17" s="40">
        <f t="shared" si="15"/>
        <v>0.28060388504460754</v>
      </c>
      <c r="AI17" s="12">
        <v>267000585</v>
      </c>
      <c r="AJ17" s="12">
        <v>277082000</v>
      </c>
      <c r="AK17" s="12">
        <v>172024444</v>
      </c>
      <c r="AL17" s="12"/>
    </row>
    <row r="18" spans="1:38" s="13" customFormat="1" ht="12.75">
      <c r="A18" s="29" t="s">
        <v>96</v>
      </c>
      <c r="B18" s="60" t="s">
        <v>204</v>
      </c>
      <c r="C18" s="39" t="s">
        <v>205</v>
      </c>
      <c r="D18" s="77">
        <v>87814208</v>
      </c>
      <c r="E18" s="78">
        <v>50326351</v>
      </c>
      <c r="F18" s="79">
        <f t="shared" si="0"/>
        <v>138140559</v>
      </c>
      <c r="G18" s="77">
        <v>87814208</v>
      </c>
      <c r="H18" s="78">
        <v>50326351</v>
      </c>
      <c r="I18" s="80">
        <f t="shared" si="1"/>
        <v>138140559</v>
      </c>
      <c r="J18" s="77">
        <v>30553613</v>
      </c>
      <c r="K18" s="78">
        <v>7283988</v>
      </c>
      <c r="L18" s="78">
        <f t="shared" si="2"/>
        <v>37837601</v>
      </c>
      <c r="M18" s="40">
        <f t="shared" si="3"/>
        <v>0.2739065287842074</v>
      </c>
      <c r="N18" s="105">
        <v>23933963</v>
      </c>
      <c r="O18" s="106">
        <v>2921991</v>
      </c>
      <c r="P18" s="107">
        <f t="shared" si="4"/>
        <v>26855954</v>
      </c>
      <c r="Q18" s="40">
        <f t="shared" si="5"/>
        <v>0.19441034692787076</v>
      </c>
      <c r="R18" s="105">
        <v>8182695</v>
      </c>
      <c r="S18" s="107">
        <v>5034460</v>
      </c>
      <c r="T18" s="107">
        <f t="shared" si="6"/>
        <v>13217155</v>
      </c>
      <c r="U18" s="40">
        <f t="shared" si="7"/>
        <v>0.09567903225293883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62670271</v>
      </c>
      <c r="AA18" s="78">
        <f t="shared" si="11"/>
        <v>15240439</v>
      </c>
      <c r="AB18" s="78">
        <f t="shared" si="12"/>
        <v>77910710</v>
      </c>
      <c r="AC18" s="40">
        <f t="shared" si="13"/>
        <v>0.563995907965017</v>
      </c>
      <c r="AD18" s="77">
        <v>13060627</v>
      </c>
      <c r="AE18" s="78">
        <v>2676971</v>
      </c>
      <c r="AF18" s="78">
        <f t="shared" si="14"/>
        <v>15737598</v>
      </c>
      <c r="AG18" s="40">
        <f>IF(101738140=0,0,78671082/101738140)</f>
        <v>0.7732702996142843</v>
      </c>
      <c r="AH18" s="40">
        <f t="shared" si="15"/>
        <v>-0.16015423700618103</v>
      </c>
      <c r="AI18" s="12">
        <v>101738104</v>
      </c>
      <c r="AJ18" s="12">
        <v>101738140</v>
      </c>
      <c r="AK18" s="12">
        <v>78671082</v>
      </c>
      <c r="AL18" s="12"/>
    </row>
    <row r="19" spans="1:38" s="13" customFormat="1" ht="12.75">
      <c r="A19" s="29" t="s">
        <v>96</v>
      </c>
      <c r="B19" s="60" t="s">
        <v>206</v>
      </c>
      <c r="C19" s="39" t="s">
        <v>207</v>
      </c>
      <c r="D19" s="77">
        <v>130768132</v>
      </c>
      <c r="E19" s="78">
        <v>20571000</v>
      </c>
      <c r="F19" s="80">
        <f t="shared" si="0"/>
        <v>151339132</v>
      </c>
      <c r="G19" s="77">
        <v>110780607</v>
      </c>
      <c r="H19" s="78">
        <v>41855000</v>
      </c>
      <c r="I19" s="80">
        <f t="shared" si="1"/>
        <v>152635607</v>
      </c>
      <c r="J19" s="77">
        <v>66500578</v>
      </c>
      <c r="K19" s="78">
        <v>2660664</v>
      </c>
      <c r="L19" s="78">
        <f t="shared" si="2"/>
        <v>69161242</v>
      </c>
      <c r="M19" s="40">
        <f t="shared" si="3"/>
        <v>0.4569951015709539</v>
      </c>
      <c r="N19" s="105">
        <v>30832431</v>
      </c>
      <c r="O19" s="106">
        <v>1691996</v>
      </c>
      <c r="P19" s="107">
        <f t="shared" si="4"/>
        <v>32524427</v>
      </c>
      <c r="Q19" s="40">
        <f t="shared" si="5"/>
        <v>0.21491088636612504</v>
      </c>
      <c r="R19" s="105">
        <v>29524616</v>
      </c>
      <c r="S19" s="107">
        <v>2958083</v>
      </c>
      <c r="T19" s="107">
        <f t="shared" si="6"/>
        <v>32482699</v>
      </c>
      <c r="U19" s="40">
        <f t="shared" si="7"/>
        <v>0.21281206684623727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126857625</v>
      </c>
      <c r="AA19" s="78">
        <f t="shared" si="11"/>
        <v>7310743</v>
      </c>
      <c r="AB19" s="78">
        <f t="shared" si="12"/>
        <v>134168368</v>
      </c>
      <c r="AC19" s="40">
        <f t="shared" si="13"/>
        <v>0.8790109374675595</v>
      </c>
      <c r="AD19" s="77">
        <v>49752904</v>
      </c>
      <c r="AE19" s="78">
        <v>2853327</v>
      </c>
      <c r="AF19" s="78">
        <f t="shared" si="14"/>
        <v>52606231</v>
      </c>
      <c r="AG19" s="40">
        <f>IF(147048534=0,0,127774700/147048534)</f>
        <v>0.8689287579024759</v>
      </c>
      <c r="AH19" s="40">
        <f t="shared" si="15"/>
        <v>-0.38253133930085204</v>
      </c>
      <c r="AI19" s="12">
        <v>136945419</v>
      </c>
      <c r="AJ19" s="12">
        <v>147048534</v>
      </c>
      <c r="AK19" s="12">
        <v>127774700</v>
      </c>
      <c r="AL19" s="12"/>
    </row>
    <row r="20" spans="1:38" s="13" customFormat="1" ht="12.75">
      <c r="A20" s="29" t="s">
        <v>96</v>
      </c>
      <c r="B20" s="60" t="s">
        <v>70</v>
      </c>
      <c r="C20" s="39" t="s">
        <v>71</v>
      </c>
      <c r="D20" s="77">
        <v>1952720874</v>
      </c>
      <c r="E20" s="78">
        <v>146450187</v>
      </c>
      <c r="F20" s="79">
        <f t="shared" si="0"/>
        <v>2099171061</v>
      </c>
      <c r="G20" s="77">
        <v>1929720874</v>
      </c>
      <c r="H20" s="78">
        <v>146451000</v>
      </c>
      <c r="I20" s="80">
        <f t="shared" si="1"/>
        <v>2076171874</v>
      </c>
      <c r="J20" s="77">
        <v>584662523</v>
      </c>
      <c r="K20" s="78">
        <v>19515351</v>
      </c>
      <c r="L20" s="78">
        <f t="shared" si="2"/>
        <v>604177874</v>
      </c>
      <c r="M20" s="40">
        <f t="shared" si="3"/>
        <v>0.28781736049285217</v>
      </c>
      <c r="N20" s="105">
        <v>488159109</v>
      </c>
      <c r="O20" s="106">
        <v>10954532</v>
      </c>
      <c r="P20" s="107">
        <f t="shared" si="4"/>
        <v>499113641</v>
      </c>
      <c r="Q20" s="40">
        <f t="shared" si="5"/>
        <v>0.23776701683484194</v>
      </c>
      <c r="R20" s="105">
        <v>553416717</v>
      </c>
      <c r="S20" s="107">
        <v>32167745</v>
      </c>
      <c r="T20" s="107">
        <f t="shared" si="6"/>
        <v>585584462</v>
      </c>
      <c r="U20" s="40">
        <f t="shared" si="7"/>
        <v>0.2820500890765848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1626238349</v>
      </c>
      <c r="AA20" s="78">
        <f t="shared" si="11"/>
        <v>62637628</v>
      </c>
      <c r="AB20" s="78">
        <f t="shared" si="12"/>
        <v>1688875977</v>
      </c>
      <c r="AC20" s="40">
        <f t="shared" si="13"/>
        <v>0.8134567268490027</v>
      </c>
      <c r="AD20" s="77">
        <v>385025609</v>
      </c>
      <c r="AE20" s="78">
        <v>34513995</v>
      </c>
      <c r="AF20" s="78">
        <f t="shared" si="14"/>
        <v>419539604</v>
      </c>
      <c r="AG20" s="40">
        <f>IF(1964071440=0,0,1533510256/1964071440)</f>
        <v>0.7807813019265735</v>
      </c>
      <c r="AH20" s="40">
        <f t="shared" si="15"/>
        <v>0.3957787451217598</v>
      </c>
      <c r="AI20" s="12">
        <v>1996071319</v>
      </c>
      <c r="AJ20" s="12">
        <v>1964071440</v>
      </c>
      <c r="AK20" s="12">
        <v>1533510256</v>
      </c>
      <c r="AL20" s="12"/>
    </row>
    <row r="21" spans="1:38" s="13" customFormat="1" ht="12.75">
      <c r="A21" s="29" t="s">
        <v>96</v>
      </c>
      <c r="B21" s="60" t="s">
        <v>208</v>
      </c>
      <c r="C21" s="39" t="s">
        <v>209</v>
      </c>
      <c r="D21" s="77">
        <v>351404366</v>
      </c>
      <c r="E21" s="78">
        <v>45853000</v>
      </c>
      <c r="F21" s="79">
        <f t="shared" si="0"/>
        <v>397257366</v>
      </c>
      <c r="G21" s="77">
        <v>352136000</v>
      </c>
      <c r="H21" s="78">
        <v>45853000</v>
      </c>
      <c r="I21" s="80">
        <f t="shared" si="1"/>
        <v>397989000</v>
      </c>
      <c r="J21" s="77">
        <v>104876442</v>
      </c>
      <c r="K21" s="78">
        <v>7842850</v>
      </c>
      <c r="L21" s="78">
        <f t="shared" si="2"/>
        <v>112719292</v>
      </c>
      <c r="M21" s="40">
        <f t="shared" si="3"/>
        <v>0.2837437430927335</v>
      </c>
      <c r="N21" s="105">
        <v>91719609</v>
      </c>
      <c r="O21" s="106">
        <v>8597268</v>
      </c>
      <c r="P21" s="107">
        <f t="shared" si="4"/>
        <v>100316877</v>
      </c>
      <c r="Q21" s="40">
        <f t="shared" si="5"/>
        <v>0.2525236423180634</v>
      </c>
      <c r="R21" s="105">
        <v>87133750</v>
      </c>
      <c r="S21" s="107">
        <v>6873123</v>
      </c>
      <c r="T21" s="107">
        <f t="shared" si="6"/>
        <v>94006873</v>
      </c>
      <c r="U21" s="40">
        <f t="shared" si="7"/>
        <v>0.23620470163748244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283729801</v>
      </c>
      <c r="AA21" s="78">
        <f t="shared" si="11"/>
        <v>23313241</v>
      </c>
      <c r="AB21" s="78">
        <f t="shared" si="12"/>
        <v>307043042</v>
      </c>
      <c r="AC21" s="40">
        <f t="shared" si="13"/>
        <v>0.7714862521325966</v>
      </c>
      <c r="AD21" s="77">
        <v>51493862</v>
      </c>
      <c r="AE21" s="78">
        <v>10073442</v>
      </c>
      <c r="AF21" s="78">
        <f t="shared" si="14"/>
        <v>61567304</v>
      </c>
      <c r="AG21" s="40">
        <f>IF(400957000=0,0,261305988/400957000)</f>
        <v>0.6517057639597263</v>
      </c>
      <c r="AH21" s="40">
        <f t="shared" si="15"/>
        <v>0.5268960453425084</v>
      </c>
      <c r="AI21" s="12">
        <v>403845875</v>
      </c>
      <c r="AJ21" s="12">
        <v>400957000</v>
      </c>
      <c r="AK21" s="12">
        <v>261305988</v>
      </c>
      <c r="AL21" s="12"/>
    </row>
    <row r="22" spans="1:38" s="13" customFormat="1" ht="12.75">
      <c r="A22" s="29" t="s">
        <v>115</v>
      </c>
      <c r="B22" s="60" t="s">
        <v>210</v>
      </c>
      <c r="C22" s="39" t="s">
        <v>211</v>
      </c>
      <c r="D22" s="77">
        <v>117760000</v>
      </c>
      <c r="E22" s="78">
        <v>1660000</v>
      </c>
      <c r="F22" s="79">
        <f t="shared" si="0"/>
        <v>119420000</v>
      </c>
      <c r="G22" s="77">
        <v>118150000</v>
      </c>
      <c r="H22" s="78">
        <v>2319460</v>
      </c>
      <c r="I22" s="80">
        <f t="shared" si="1"/>
        <v>120469460</v>
      </c>
      <c r="J22" s="77">
        <v>51320437</v>
      </c>
      <c r="K22" s="78">
        <v>32070</v>
      </c>
      <c r="L22" s="78">
        <f t="shared" si="2"/>
        <v>51352507</v>
      </c>
      <c r="M22" s="40">
        <f t="shared" si="3"/>
        <v>0.43001596884943893</v>
      </c>
      <c r="N22" s="105">
        <v>38074253</v>
      </c>
      <c r="O22" s="106">
        <v>279873</v>
      </c>
      <c r="P22" s="107">
        <f t="shared" si="4"/>
        <v>38354126</v>
      </c>
      <c r="Q22" s="40">
        <f t="shared" si="5"/>
        <v>0.321170038519511</v>
      </c>
      <c r="R22" s="105">
        <v>30161175</v>
      </c>
      <c r="S22" s="107">
        <v>68023</v>
      </c>
      <c r="T22" s="107">
        <f t="shared" si="6"/>
        <v>30229198</v>
      </c>
      <c r="U22" s="40">
        <f t="shared" si="7"/>
        <v>0.2509283099633716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119555865</v>
      </c>
      <c r="AA22" s="78">
        <f t="shared" si="11"/>
        <v>379966</v>
      </c>
      <c r="AB22" s="78">
        <f t="shared" si="12"/>
        <v>119935831</v>
      </c>
      <c r="AC22" s="40">
        <f t="shared" si="13"/>
        <v>0.9955704209182975</v>
      </c>
      <c r="AD22" s="77">
        <v>1305741</v>
      </c>
      <c r="AE22" s="78">
        <v>221230</v>
      </c>
      <c r="AF22" s="78">
        <f t="shared" si="14"/>
        <v>1526971</v>
      </c>
      <c r="AG22" s="40">
        <f>IF(112282022=0,0,83961210/112282022)</f>
        <v>0.7477707339470605</v>
      </c>
      <c r="AH22" s="40">
        <f t="shared" si="15"/>
        <v>18.796838315855375</v>
      </c>
      <c r="AI22" s="12">
        <v>112170536</v>
      </c>
      <c r="AJ22" s="12">
        <v>112282022</v>
      </c>
      <c r="AK22" s="12">
        <v>83961210</v>
      </c>
      <c r="AL22" s="12"/>
    </row>
    <row r="23" spans="1:38" s="56" customFormat="1" ht="12.75">
      <c r="A23" s="61"/>
      <c r="B23" s="62" t="s">
        <v>212</v>
      </c>
      <c r="C23" s="32"/>
      <c r="D23" s="81">
        <f>SUM(D17:D22)</f>
        <v>2845533394</v>
      </c>
      <c r="E23" s="82">
        <f>SUM(E17:E22)</f>
        <v>298650203</v>
      </c>
      <c r="F23" s="90">
        <f t="shared" si="0"/>
        <v>3144183597</v>
      </c>
      <c r="G23" s="81">
        <f>SUM(G17:G22)</f>
        <v>2828965689</v>
      </c>
      <c r="H23" s="82">
        <f>SUM(H17:H22)</f>
        <v>334783811</v>
      </c>
      <c r="I23" s="83">
        <f t="shared" si="1"/>
        <v>3163749500</v>
      </c>
      <c r="J23" s="81">
        <f>SUM(J17:J22)</f>
        <v>917713622</v>
      </c>
      <c r="K23" s="82">
        <f>SUM(K17:K22)</f>
        <v>46083842</v>
      </c>
      <c r="L23" s="82">
        <f t="shared" si="2"/>
        <v>963797464</v>
      </c>
      <c r="M23" s="44">
        <f t="shared" si="3"/>
        <v>0.3065334559087454</v>
      </c>
      <c r="N23" s="111">
        <f>SUM(N17:N22)</f>
        <v>734901476</v>
      </c>
      <c r="O23" s="112">
        <f>SUM(O17:O22)</f>
        <v>31698096</v>
      </c>
      <c r="P23" s="113">
        <f t="shared" si="4"/>
        <v>766599572</v>
      </c>
      <c r="Q23" s="44">
        <f t="shared" si="5"/>
        <v>0.24381514257991976</v>
      </c>
      <c r="R23" s="111">
        <f>SUM(R17:R22)</f>
        <v>745338576</v>
      </c>
      <c r="S23" s="113">
        <f>SUM(S17:S22)</f>
        <v>63468297</v>
      </c>
      <c r="T23" s="113">
        <f t="shared" si="6"/>
        <v>808806873</v>
      </c>
      <c r="U23" s="44">
        <f t="shared" si="7"/>
        <v>0.25564820255206677</v>
      </c>
      <c r="V23" s="111">
        <f>SUM(V17:V22)</f>
        <v>0</v>
      </c>
      <c r="W23" s="113">
        <f>SUM(W17:W22)</f>
        <v>0</v>
      </c>
      <c r="X23" s="113">
        <f t="shared" si="8"/>
        <v>0</v>
      </c>
      <c r="Y23" s="44">
        <f t="shared" si="9"/>
        <v>0</v>
      </c>
      <c r="Z23" s="81">
        <f t="shared" si="10"/>
        <v>2397953674</v>
      </c>
      <c r="AA23" s="82">
        <f t="shared" si="11"/>
        <v>141250235</v>
      </c>
      <c r="AB23" s="82">
        <f t="shared" si="12"/>
        <v>2539203909</v>
      </c>
      <c r="AC23" s="44">
        <f t="shared" si="13"/>
        <v>0.8025932233256773</v>
      </c>
      <c r="AD23" s="81">
        <f>SUM(AD17:AD22)</f>
        <v>530322637</v>
      </c>
      <c r="AE23" s="82">
        <f>SUM(AE17:AE22)</f>
        <v>62265507</v>
      </c>
      <c r="AF23" s="82">
        <f t="shared" si="14"/>
        <v>592588144</v>
      </c>
      <c r="AG23" s="44">
        <f>IF(112282022=0,0,83961210/112282022)</f>
        <v>0.7477707339470605</v>
      </c>
      <c r="AH23" s="44">
        <f t="shared" si="15"/>
        <v>0.36487184428043506</v>
      </c>
      <c r="AI23" s="63">
        <f>SUM(AI17:AI22)</f>
        <v>3017771838</v>
      </c>
      <c r="AJ23" s="63">
        <f>SUM(AJ17:AJ22)</f>
        <v>3003179136</v>
      </c>
      <c r="AK23" s="63">
        <f>SUM(AK17:AK22)</f>
        <v>2257247680</v>
      </c>
      <c r="AL23" s="63"/>
    </row>
    <row r="24" spans="1:38" s="13" customFormat="1" ht="12.75">
      <c r="A24" s="29" t="s">
        <v>96</v>
      </c>
      <c r="B24" s="60" t="s">
        <v>213</v>
      </c>
      <c r="C24" s="39" t="s">
        <v>214</v>
      </c>
      <c r="D24" s="77">
        <v>411472900</v>
      </c>
      <c r="E24" s="78">
        <v>79623797</v>
      </c>
      <c r="F24" s="79">
        <f t="shared" si="0"/>
        <v>491096697</v>
      </c>
      <c r="G24" s="77">
        <v>411472900</v>
      </c>
      <c r="H24" s="78">
        <v>20001436</v>
      </c>
      <c r="I24" s="80">
        <f t="shared" si="1"/>
        <v>431474336</v>
      </c>
      <c r="J24" s="77">
        <v>139517552</v>
      </c>
      <c r="K24" s="78">
        <v>8055851</v>
      </c>
      <c r="L24" s="78">
        <f t="shared" si="2"/>
        <v>147573403</v>
      </c>
      <c r="M24" s="40">
        <f t="shared" si="3"/>
        <v>0.30049764924401434</v>
      </c>
      <c r="N24" s="105">
        <v>125989262</v>
      </c>
      <c r="O24" s="106">
        <v>15605423</v>
      </c>
      <c r="P24" s="107">
        <f t="shared" si="4"/>
        <v>141594685</v>
      </c>
      <c r="Q24" s="40">
        <f t="shared" si="5"/>
        <v>0.2883234317497354</v>
      </c>
      <c r="R24" s="105">
        <v>132473898</v>
      </c>
      <c r="S24" s="107">
        <v>37685934</v>
      </c>
      <c r="T24" s="107">
        <f t="shared" si="6"/>
        <v>170159832</v>
      </c>
      <c r="U24" s="40">
        <f t="shared" si="7"/>
        <v>0.3943683732791004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397980712</v>
      </c>
      <c r="AA24" s="78">
        <f t="shared" si="11"/>
        <v>61347208</v>
      </c>
      <c r="AB24" s="78">
        <f t="shared" si="12"/>
        <v>459327920</v>
      </c>
      <c r="AC24" s="40">
        <f t="shared" si="13"/>
        <v>1.0645544396874627</v>
      </c>
      <c r="AD24" s="77">
        <v>91911298</v>
      </c>
      <c r="AE24" s="78">
        <v>8324188</v>
      </c>
      <c r="AF24" s="78">
        <f t="shared" si="14"/>
        <v>100235486</v>
      </c>
      <c r="AG24" s="40">
        <f>IF(455041582=0,0,337564684/455041582)</f>
        <v>0.7418326090471442</v>
      </c>
      <c r="AH24" s="40">
        <f t="shared" si="15"/>
        <v>0.6976007079967668</v>
      </c>
      <c r="AI24" s="12">
        <v>454095777</v>
      </c>
      <c r="AJ24" s="12">
        <v>455041582</v>
      </c>
      <c r="AK24" s="12">
        <v>337564684</v>
      </c>
      <c r="AL24" s="12"/>
    </row>
    <row r="25" spans="1:38" s="13" customFormat="1" ht="12.75">
      <c r="A25" s="29" t="s">
        <v>96</v>
      </c>
      <c r="B25" s="60" t="s">
        <v>215</v>
      </c>
      <c r="C25" s="39" t="s">
        <v>216</v>
      </c>
      <c r="D25" s="77">
        <v>644937085</v>
      </c>
      <c r="E25" s="78">
        <v>84008000</v>
      </c>
      <c r="F25" s="79">
        <f t="shared" si="0"/>
        <v>728945085</v>
      </c>
      <c r="G25" s="77">
        <v>674562909</v>
      </c>
      <c r="H25" s="78">
        <v>78808001</v>
      </c>
      <c r="I25" s="80">
        <f t="shared" si="1"/>
        <v>753370910</v>
      </c>
      <c r="J25" s="77">
        <v>186149243</v>
      </c>
      <c r="K25" s="78">
        <v>2465035</v>
      </c>
      <c r="L25" s="78">
        <f t="shared" si="2"/>
        <v>188614278</v>
      </c>
      <c r="M25" s="40">
        <f t="shared" si="3"/>
        <v>0.2587496395561814</v>
      </c>
      <c r="N25" s="105">
        <v>156864671</v>
      </c>
      <c r="O25" s="106">
        <v>13769742</v>
      </c>
      <c r="P25" s="107">
        <f t="shared" si="4"/>
        <v>170634413</v>
      </c>
      <c r="Q25" s="40">
        <f t="shared" si="5"/>
        <v>0.23408404351886122</v>
      </c>
      <c r="R25" s="105">
        <v>160861234</v>
      </c>
      <c r="S25" s="107">
        <v>22984101</v>
      </c>
      <c r="T25" s="107">
        <f t="shared" si="6"/>
        <v>183845335</v>
      </c>
      <c r="U25" s="40">
        <f t="shared" si="7"/>
        <v>0.24403030772717252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503875148</v>
      </c>
      <c r="AA25" s="78">
        <f t="shared" si="11"/>
        <v>39218878</v>
      </c>
      <c r="AB25" s="78">
        <f t="shared" si="12"/>
        <v>543094026</v>
      </c>
      <c r="AC25" s="40">
        <f t="shared" si="13"/>
        <v>0.7208853153090289</v>
      </c>
      <c r="AD25" s="77">
        <v>113169426</v>
      </c>
      <c r="AE25" s="78">
        <v>14150613</v>
      </c>
      <c r="AF25" s="78">
        <f t="shared" si="14"/>
        <v>127320039</v>
      </c>
      <c r="AG25" s="40">
        <f>IF(682599863=0,0,502406815/682599863)</f>
        <v>0.7360195075222276</v>
      </c>
      <c r="AH25" s="40">
        <f t="shared" si="15"/>
        <v>0.44396228939263827</v>
      </c>
      <c r="AI25" s="12">
        <v>682599863</v>
      </c>
      <c r="AJ25" s="12">
        <v>682599863</v>
      </c>
      <c r="AK25" s="12">
        <v>502406815</v>
      </c>
      <c r="AL25" s="12"/>
    </row>
    <row r="26" spans="1:38" s="13" customFormat="1" ht="12.75">
      <c r="A26" s="29" t="s">
        <v>96</v>
      </c>
      <c r="B26" s="60" t="s">
        <v>217</v>
      </c>
      <c r="C26" s="39" t="s">
        <v>218</v>
      </c>
      <c r="D26" s="77">
        <v>310928934</v>
      </c>
      <c r="E26" s="78">
        <v>67597000</v>
      </c>
      <c r="F26" s="79">
        <f t="shared" si="0"/>
        <v>378525934</v>
      </c>
      <c r="G26" s="77">
        <v>301780713</v>
      </c>
      <c r="H26" s="78">
        <v>67597000</v>
      </c>
      <c r="I26" s="80">
        <f t="shared" si="1"/>
        <v>369377713</v>
      </c>
      <c r="J26" s="77">
        <v>87059600</v>
      </c>
      <c r="K26" s="78">
        <v>6819640</v>
      </c>
      <c r="L26" s="78">
        <f t="shared" si="2"/>
        <v>93879240</v>
      </c>
      <c r="M26" s="40">
        <f t="shared" si="3"/>
        <v>0.2480127028759937</v>
      </c>
      <c r="N26" s="105">
        <v>75849926</v>
      </c>
      <c r="O26" s="106">
        <v>7983745</v>
      </c>
      <c r="P26" s="107">
        <f t="shared" si="4"/>
        <v>83833671</v>
      </c>
      <c r="Q26" s="40">
        <f t="shared" si="5"/>
        <v>0.22147404832769002</v>
      </c>
      <c r="R26" s="105">
        <v>72303151</v>
      </c>
      <c r="S26" s="107">
        <v>4592164</v>
      </c>
      <c r="T26" s="107">
        <f t="shared" si="6"/>
        <v>76895315</v>
      </c>
      <c r="U26" s="40">
        <f t="shared" si="7"/>
        <v>0.20817529670502888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235212677</v>
      </c>
      <c r="AA26" s="78">
        <f t="shared" si="11"/>
        <v>19395549</v>
      </c>
      <c r="AB26" s="78">
        <f t="shared" si="12"/>
        <v>254608226</v>
      </c>
      <c r="AC26" s="40">
        <f t="shared" si="13"/>
        <v>0.6892896269570005</v>
      </c>
      <c r="AD26" s="77">
        <v>44071515</v>
      </c>
      <c r="AE26" s="78">
        <v>6168156</v>
      </c>
      <c r="AF26" s="78">
        <f t="shared" si="14"/>
        <v>50239671</v>
      </c>
      <c r="AG26" s="40">
        <f>IF(341605000=0,0,185695885/341605000)</f>
        <v>0.5435982640769309</v>
      </c>
      <c r="AH26" s="40">
        <f t="shared" si="15"/>
        <v>0.5305696368911332</v>
      </c>
      <c r="AI26" s="12">
        <v>304362499</v>
      </c>
      <c r="AJ26" s="12">
        <v>341605000</v>
      </c>
      <c r="AK26" s="12">
        <v>185695885</v>
      </c>
      <c r="AL26" s="12"/>
    </row>
    <row r="27" spans="1:38" s="13" customFormat="1" ht="12.75">
      <c r="A27" s="29" t="s">
        <v>96</v>
      </c>
      <c r="B27" s="60" t="s">
        <v>219</v>
      </c>
      <c r="C27" s="39" t="s">
        <v>220</v>
      </c>
      <c r="D27" s="77">
        <v>2099118639</v>
      </c>
      <c r="E27" s="78">
        <v>450665000</v>
      </c>
      <c r="F27" s="79">
        <f t="shared" si="0"/>
        <v>2549783639</v>
      </c>
      <c r="G27" s="77">
        <v>1768319953</v>
      </c>
      <c r="H27" s="78">
        <v>260760692</v>
      </c>
      <c r="I27" s="80">
        <f t="shared" si="1"/>
        <v>2029080645</v>
      </c>
      <c r="J27" s="77">
        <v>521102990</v>
      </c>
      <c r="K27" s="78">
        <v>35744192</v>
      </c>
      <c r="L27" s="78">
        <f t="shared" si="2"/>
        <v>556847182</v>
      </c>
      <c r="M27" s="40">
        <f t="shared" si="3"/>
        <v>0.21838997375416133</v>
      </c>
      <c r="N27" s="105">
        <v>332769180</v>
      </c>
      <c r="O27" s="106">
        <v>63090466</v>
      </c>
      <c r="P27" s="107">
        <f t="shared" si="4"/>
        <v>395859646</v>
      </c>
      <c r="Q27" s="40">
        <f t="shared" si="5"/>
        <v>0.15525224962038436</v>
      </c>
      <c r="R27" s="105">
        <v>304770177</v>
      </c>
      <c r="S27" s="107">
        <v>41196476</v>
      </c>
      <c r="T27" s="107">
        <f t="shared" si="6"/>
        <v>345966653</v>
      </c>
      <c r="U27" s="40">
        <f t="shared" si="7"/>
        <v>0.17050414129794236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1158642347</v>
      </c>
      <c r="AA27" s="78">
        <f t="shared" si="11"/>
        <v>140031134</v>
      </c>
      <c r="AB27" s="78">
        <f t="shared" si="12"/>
        <v>1298673481</v>
      </c>
      <c r="AC27" s="40">
        <f t="shared" si="13"/>
        <v>0.640030490754595</v>
      </c>
      <c r="AD27" s="77">
        <v>135632378</v>
      </c>
      <c r="AE27" s="78">
        <v>83236898</v>
      </c>
      <c r="AF27" s="78">
        <f t="shared" si="14"/>
        <v>218869276</v>
      </c>
      <c r="AG27" s="40">
        <f>IF(1769747147=0,0,877857100/1769747147)</f>
        <v>0.4960353243050037</v>
      </c>
      <c r="AH27" s="40">
        <f t="shared" si="15"/>
        <v>0.5806999471227747</v>
      </c>
      <c r="AI27" s="12">
        <v>1709138713</v>
      </c>
      <c r="AJ27" s="12">
        <v>1769747147</v>
      </c>
      <c r="AK27" s="12">
        <v>877857100</v>
      </c>
      <c r="AL27" s="12"/>
    </row>
    <row r="28" spans="1:38" s="13" customFormat="1" ht="12.75">
      <c r="A28" s="29" t="s">
        <v>96</v>
      </c>
      <c r="B28" s="60" t="s">
        <v>221</v>
      </c>
      <c r="C28" s="39" t="s">
        <v>222</v>
      </c>
      <c r="D28" s="77">
        <v>148372031</v>
      </c>
      <c r="E28" s="78">
        <v>48292000</v>
      </c>
      <c r="F28" s="79">
        <f t="shared" si="0"/>
        <v>196664031</v>
      </c>
      <c r="G28" s="77">
        <v>131048861</v>
      </c>
      <c r="H28" s="78">
        <v>33719796</v>
      </c>
      <c r="I28" s="80">
        <f t="shared" si="1"/>
        <v>164768657</v>
      </c>
      <c r="J28" s="77">
        <v>47868866</v>
      </c>
      <c r="K28" s="78">
        <v>3755896</v>
      </c>
      <c r="L28" s="78">
        <f t="shared" si="2"/>
        <v>51624762</v>
      </c>
      <c r="M28" s="40">
        <f t="shared" si="3"/>
        <v>0.26250230780635225</v>
      </c>
      <c r="N28" s="105">
        <v>23591095</v>
      </c>
      <c r="O28" s="106">
        <v>10335080</v>
      </c>
      <c r="P28" s="107">
        <f t="shared" si="4"/>
        <v>33926175</v>
      </c>
      <c r="Q28" s="40">
        <f t="shared" si="5"/>
        <v>0.17250828647969693</v>
      </c>
      <c r="R28" s="105">
        <v>36050321</v>
      </c>
      <c r="S28" s="107">
        <v>9015417</v>
      </c>
      <c r="T28" s="107">
        <f t="shared" si="6"/>
        <v>45065738</v>
      </c>
      <c r="U28" s="40">
        <f t="shared" si="7"/>
        <v>0.27350916624877264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107510282</v>
      </c>
      <c r="AA28" s="78">
        <f t="shared" si="11"/>
        <v>23106393</v>
      </c>
      <c r="AB28" s="78">
        <f t="shared" si="12"/>
        <v>130616675</v>
      </c>
      <c r="AC28" s="40">
        <f t="shared" si="13"/>
        <v>0.7927276787841998</v>
      </c>
      <c r="AD28" s="77">
        <v>34233698</v>
      </c>
      <c r="AE28" s="78">
        <v>3751185</v>
      </c>
      <c r="AF28" s="78">
        <f t="shared" si="14"/>
        <v>37984883</v>
      </c>
      <c r="AG28" s="40">
        <f>IF(160121900=0,0,124538097/160121900)</f>
        <v>0.7777705423180714</v>
      </c>
      <c r="AH28" s="40">
        <f t="shared" si="15"/>
        <v>0.18641244728856998</v>
      </c>
      <c r="AI28" s="12">
        <v>180631728</v>
      </c>
      <c r="AJ28" s="12">
        <v>160121900</v>
      </c>
      <c r="AK28" s="12">
        <v>124538097</v>
      </c>
      <c r="AL28" s="12"/>
    </row>
    <row r="29" spans="1:38" s="13" customFormat="1" ht="12.75">
      <c r="A29" s="29" t="s">
        <v>96</v>
      </c>
      <c r="B29" s="60" t="s">
        <v>223</v>
      </c>
      <c r="C29" s="39" t="s">
        <v>224</v>
      </c>
      <c r="D29" s="77">
        <v>232892154</v>
      </c>
      <c r="E29" s="78">
        <v>46579350</v>
      </c>
      <c r="F29" s="79">
        <f t="shared" si="0"/>
        <v>279471504</v>
      </c>
      <c r="G29" s="77">
        <v>232892154</v>
      </c>
      <c r="H29" s="78">
        <v>46579350</v>
      </c>
      <c r="I29" s="80">
        <f t="shared" si="1"/>
        <v>279471504</v>
      </c>
      <c r="J29" s="77">
        <v>45907725</v>
      </c>
      <c r="K29" s="78">
        <v>4342778</v>
      </c>
      <c r="L29" s="78">
        <f t="shared" si="2"/>
        <v>50250503</v>
      </c>
      <c r="M29" s="40">
        <f t="shared" si="3"/>
        <v>0.17980546238445835</v>
      </c>
      <c r="N29" s="105">
        <v>77132271</v>
      </c>
      <c r="O29" s="106">
        <v>5509525</v>
      </c>
      <c r="P29" s="107">
        <f t="shared" si="4"/>
        <v>82641796</v>
      </c>
      <c r="Q29" s="40">
        <f t="shared" si="5"/>
        <v>0.2957074149498977</v>
      </c>
      <c r="R29" s="105">
        <v>21418078</v>
      </c>
      <c r="S29" s="107">
        <v>11013618</v>
      </c>
      <c r="T29" s="107">
        <f t="shared" si="6"/>
        <v>32431696</v>
      </c>
      <c r="U29" s="40">
        <f t="shared" si="7"/>
        <v>0.11604652186650129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144458074</v>
      </c>
      <c r="AA29" s="78">
        <f t="shared" si="11"/>
        <v>20865921</v>
      </c>
      <c r="AB29" s="78">
        <f t="shared" si="12"/>
        <v>165323995</v>
      </c>
      <c r="AC29" s="40">
        <f t="shared" si="13"/>
        <v>0.5915593992008573</v>
      </c>
      <c r="AD29" s="77">
        <v>29579138</v>
      </c>
      <c r="AE29" s="78">
        <v>5452425</v>
      </c>
      <c r="AF29" s="78">
        <f t="shared" si="14"/>
        <v>35031563</v>
      </c>
      <c r="AG29" s="40">
        <f>IF(248561675=0,0,154797271/248561675)</f>
        <v>0.6227720785998083</v>
      </c>
      <c r="AH29" s="40">
        <f t="shared" si="15"/>
        <v>-0.0742149872102481</v>
      </c>
      <c r="AI29" s="12">
        <v>253564409</v>
      </c>
      <c r="AJ29" s="12">
        <v>248561675</v>
      </c>
      <c r="AK29" s="12">
        <v>154797271</v>
      </c>
      <c r="AL29" s="12"/>
    </row>
    <row r="30" spans="1:38" s="13" customFormat="1" ht="12.75">
      <c r="A30" s="29" t="s">
        <v>115</v>
      </c>
      <c r="B30" s="60" t="s">
        <v>225</v>
      </c>
      <c r="C30" s="39" t="s">
        <v>226</v>
      </c>
      <c r="D30" s="77">
        <v>108844333</v>
      </c>
      <c r="E30" s="78">
        <v>2200000</v>
      </c>
      <c r="F30" s="80">
        <f t="shared" si="0"/>
        <v>111044333</v>
      </c>
      <c r="G30" s="77">
        <v>115380101</v>
      </c>
      <c r="H30" s="78">
        <v>1562000</v>
      </c>
      <c r="I30" s="80">
        <f t="shared" si="1"/>
        <v>116942101</v>
      </c>
      <c r="J30" s="77">
        <v>45798633</v>
      </c>
      <c r="K30" s="78">
        <v>28274</v>
      </c>
      <c r="L30" s="78">
        <f t="shared" si="2"/>
        <v>45826907</v>
      </c>
      <c r="M30" s="40">
        <f t="shared" si="3"/>
        <v>0.41269019104288734</v>
      </c>
      <c r="N30" s="105">
        <v>33318402</v>
      </c>
      <c r="O30" s="106">
        <v>1209814</v>
      </c>
      <c r="P30" s="107">
        <f t="shared" si="4"/>
        <v>34528216</v>
      </c>
      <c r="Q30" s="40">
        <f t="shared" si="5"/>
        <v>0.31094082036586235</v>
      </c>
      <c r="R30" s="105">
        <v>25617966</v>
      </c>
      <c r="S30" s="107">
        <v>0</v>
      </c>
      <c r="T30" s="107">
        <f t="shared" si="6"/>
        <v>25617966</v>
      </c>
      <c r="U30" s="40">
        <f t="shared" si="7"/>
        <v>0.21906538176528914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104735001</v>
      </c>
      <c r="AA30" s="78">
        <f t="shared" si="11"/>
        <v>1238088</v>
      </c>
      <c r="AB30" s="78">
        <f t="shared" si="12"/>
        <v>105973089</v>
      </c>
      <c r="AC30" s="40">
        <f t="shared" si="13"/>
        <v>0.9062013431757995</v>
      </c>
      <c r="AD30" s="77">
        <v>24517550</v>
      </c>
      <c r="AE30" s="78">
        <v>536683</v>
      </c>
      <c r="AF30" s="78">
        <f t="shared" si="14"/>
        <v>25054233</v>
      </c>
      <c r="AG30" s="40">
        <f>IF(134936181=0,0,99151717/134936181)</f>
        <v>0.7348045295575691</v>
      </c>
      <c r="AH30" s="40">
        <f t="shared" si="15"/>
        <v>0.02250050919539226</v>
      </c>
      <c r="AI30" s="12">
        <v>102081066</v>
      </c>
      <c r="AJ30" s="12">
        <v>134936181</v>
      </c>
      <c r="AK30" s="12">
        <v>99151717</v>
      </c>
      <c r="AL30" s="12"/>
    </row>
    <row r="31" spans="1:38" s="56" customFormat="1" ht="12.75">
      <c r="A31" s="61"/>
      <c r="B31" s="62" t="s">
        <v>227</v>
      </c>
      <c r="C31" s="32"/>
      <c r="D31" s="81">
        <f>SUM(D24:D30)</f>
        <v>3956566076</v>
      </c>
      <c r="E31" s="82">
        <f>SUM(E24:E30)</f>
        <v>778965147</v>
      </c>
      <c r="F31" s="90">
        <f t="shared" si="0"/>
        <v>4735531223</v>
      </c>
      <c r="G31" s="81">
        <f>SUM(G24:G30)</f>
        <v>3635457591</v>
      </c>
      <c r="H31" s="82">
        <f>SUM(H24:H30)</f>
        <v>509028275</v>
      </c>
      <c r="I31" s="83">
        <f t="shared" si="1"/>
        <v>4144485866</v>
      </c>
      <c r="J31" s="81">
        <f>SUM(J24:J30)</f>
        <v>1073404609</v>
      </c>
      <c r="K31" s="82">
        <f>SUM(K24:K30)</f>
        <v>61211666</v>
      </c>
      <c r="L31" s="82">
        <f t="shared" si="2"/>
        <v>1134616275</v>
      </c>
      <c r="M31" s="44">
        <f t="shared" si="3"/>
        <v>0.23959640884411923</v>
      </c>
      <c r="N31" s="111">
        <f>SUM(N24:N30)</f>
        <v>825514807</v>
      </c>
      <c r="O31" s="112">
        <f>SUM(O24:O30)</f>
        <v>117503795</v>
      </c>
      <c r="P31" s="113">
        <f t="shared" si="4"/>
        <v>943018602</v>
      </c>
      <c r="Q31" s="44">
        <f t="shared" si="5"/>
        <v>0.1991368143493286</v>
      </c>
      <c r="R31" s="111">
        <f>SUM(R24:R30)</f>
        <v>753494825</v>
      </c>
      <c r="S31" s="113">
        <f>SUM(S24:S30)</f>
        <v>126487710</v>
      </c>
      <c r="T31" s="113">
        <f t="shared" si="6"/>
        <v>879982535</v>
      </c>
      <c r="U31" s="44">
        <f t="shared" si="7"/>
        <v>0.2123261035148141</v>
      </c>
      <c r="V31" s="111">
        <f>SUM(V24:V30)</f>
        <v>0</v>
      </c>
      <c r="W31" s="113">
        <f>SUM(W24:W30)</f>
        <v>0</v>
      </c>
      <c r="X31" s="113">
        <f t="shared" si="8"/>
        <v>0</v>
      </c>
      <c r="Y31" s="44">
        <f t="shared" si="9"/>
        <v>0</v>
      </c>
      <c r="Z31" s="81">
        <f t="shared" si="10"/>
        <v>2652414241</v>
      </c>
      <c r="AA31" s="82">
        <f t="shared" si="11"/>
        <v>305203171</v>
      </c>
      <c r="AB31" s="82">
        <f t="shared" si="12"/>
        <v>2957617412</v>
      </c>
      <c r="AC31" s="44">
        <f t="shared" si="13"/>
        <v>0.7136270957667684</v>
      </c>
      <c r="AD31" s="81">
        <f>SUM(AD24:AD30)</f>
        <v>473115003</v>
      </c>
      <c r="AE31" s="82">
        <f>SUM(AE24:AE30)</f>
        <v>121620148</v>
      </c>
      <c r="AF31" s="82">
        <f t="shared" si="14"/>
        <v>594735151</v>
      </c>
      <c r="AG31" s="44">
        <f>IF(134936181=0,0,99151717/134936181)</f>
        <v>0.7348045295575691</v>
      </c>
      <c r="AH31" s="44">
        <f t="shared" si="15"/>
        <v>0.4796208589998072</v>
      </c>
      <c r="AI31" s="63">
        <f>SUM(AI24:AI30)</f>
        <v>3686474055</v>
      </c>
      <c r="AJ31" s="63">
        <f>SUM(AJ24:AJ30)</f>
        <v>3792613348</v>
      </c>
      <c r="AK31" s="63">
        <f>SUM(AK24:AK30)</f>
        <v>2282011569</v>
      </c>
      <c r="AL31" s="63"/>
    </row>
    <row r="32" spans="1:38" s="13" customFormat="1" ht="12.75">
      <c r="A32" s="29" t="s">
        <v>96</v>
      </c>
      <c r="B32" s="60" t="s">
        <v>228</v>
      </c>
      <c r="C32" s="39" t="s">
        <v>229</v>
      </c>
      <c r="D32" s="77">
        <v>666515355</v>
      </c>
      <c r="E32" s="78">
        <v>106497000</v>
      </c>
      <c r="F32" s="79">
        <f t="shared" si="0"/>
        <v>773012355</v>
      </c>
      <c r="G32" s="77">
        <v>693545270</v>
      </c>
      <c r="H32" s="78">
        <v>130305772</v>
      </c>
      <c r="I32" s="80">
        <f t="shared" si="1"/>
        <v>823851042</v>
      </c>
      <c r="J32" s="77">
        <v>146359783</v>
      </c>
      <c r="K32" s="78">
        <v>17751957</v>
      </c>
      <c r="L32" s="78">
        <f t="shared" si="2"/>
        <v>164111740</v>
      </c>
      <c r="M32" s="40">
        <f t="shared" si="3"/>
        <v>0.21230157440368466</v>
      </c>
      <c r="N32" s="105">
        <v>116571165</v>
      </c>
      <c r="O32" s="106">
        <v>52802717</v>
      </c>
      <c r="P32" s="107">
        <f t="shared" si="4"/>
        <v>169373882</v>
      </c>
      <c r="Q32" s="40">
        <f t="shared" si="5"/>
        <v>0.21910889380286813</v>
      </c>
      <c r="R32" s="105">
        <v>115085932</v>
      </c>
      <c r="S32" s="107">
        <v>40271023</v>
      </c>
      <c r="T32" s="107">
        <f t="shared" si="6"/>
        <v>155356955</v>
      </c>
      <c r="U32" s="40">
        <f t="shared" si="7"/>
        <v>0.18857408327463157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378016880</v>
      </c>
      <c r="AA32" s="78">
        <f t="shared" si="11"/>
        <v>110825697</v>
      </c>
      <c r="AB32" s="78">
        <f t="shared" si="12"/>
        <v>488842577</v>
      </c>
      <c r="AC32" s="40">
        <f t="shared" si="13"/>
        <v>0.593362819343257</v>
      </c>
      <c r="AD32" s="77">
        <v>105562862</v>
      </c>
      <c r="AE32" s="78">
        <v>0</v>
      </c>
      <c r="AF32" s="78">
        <f t="shared" si="14"/>
        <v>105562862</v>
      </c>
      <c r="AG32" s="40">
        <f>IF(740948389=0,0,403062803/740948389)</f>
        <v>0.5439822921323606</v>
      </c>
      <c r="AH32" s="40">
        <f t="shared" si="15"/>
        <v>0.47170086199443895</v>
      </c>
      <c r="AI32" s="12">
        <v>675716496</v>
      </c>
      <c r="AJ32" s="12">
        <v>740948389</v>
      </c>
      <c r="AK32" s="12">
        <v>403062803</v>
      </c>
      <c r="AL32" s="12"/>
    </row>
    <row r="33" spans="1:38" s="13" customFormat="1" ht="12.75">
      <c r="A33" s="29" t="s">
        <v>96</v>
      </c>
      <c r="B33" s="60" t="s">
        <v>230</v>
      </c>
      <c r="C33" s="39" t="s">
        <v>231</v>
      </c>
      <c r="D33" s="77">
        <v>530812080</v>
      </c>
      <c r="E33" s="78">
        <v>43636939</v>
      </c>
      <c r="F33" s="79">
        <f t="shared" si="0"/>
        <v>574449019</v>
      </c>
      <c r="G33" s="77">
        <v>530812080</v>
      </c>
      <c r="H33" s="78">
        <v>43636939</v>
      </c>
      <c r="I33" s="80">
        <f t="shared" si="1"/>
        <v>574449019</v>
      </c>
      <c r="J33" s="77">
        <v>102653603</v>
      </c>
      <c r="K33" s="78">
        <v>12826555</v>
      </c>
      <c r="L33" s="78">
        <f t="shared" si="2"/>
        <v>115480158</v>
      </c>
      <c r="M33" s="40">
        <f t="shared" si="3"/>
        <v>0.20102768771548724</v>
      </c>
      <c r="N33" s="105">
        <v>132930422</v>
      </c>
      <c r="O33" s="106">
        <v>13339306</v>
      </c>
      <c r="P33" s="107">
        <f t="shared" si="4"/>
        <v>146269728</v>
      </c>
      <c r="Q33" s="40">
        <f t="shared" si="5"/>
        <v>0.254626125490868</v>
      </c>
      <c r="R33" s="105">
        <v>164337640</v>
      </c>
      <c r="S33" s="107">
        <v>10197989</v>
      </c>
      <c r="T33" s="107">
        <f t="shared" si="6"/>
        <v>174535629</v>
      </c>
      <c r="U33" s="40">
        <f t="shared" si="7"/>
        <v>0.30383136401526345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399921665</v>
      </c>
      <c r="AA33" s="78">
        <f t="shared" si="11"/>
        <v>36363850</v>
      </c>
      <c r="AB33" s="78">
        <f t="shared" si="12"/>
        <v>436285515</v>
      </c>
      <c r="AC33" s="40">
        <f t="shared" si="13"/>
        <v>0.7594851772216187</v>
      </c>
      <c r="AD33" s="77">
        <v>161170767</v>
      </c>
      <c r="AE33" s="78">
        <v>19831209</v>
      </c>
      <c r="AF33" s="78">
        <f t="shared" si="14"/>
        <v>181001976</v>
      </c>
      <c r="AG33" s="40">
        <f>IF(552219200=0,0,417445162/552219200)</f>
        <v>0.7559410502206371</v>
      </c>
      <c r="AH33" s="40">
        <f t="shared" si="15"/>
        <v>-0.03572528401568387</v>
      </c>
      <c r="AI33" s="12">
        <v>550376195</v>
      </c>
      <c r="AJ33" s="12">
        <v>552219200</v>
      </c>
      <c r="AK33" s="12">
        <v>417445162</v>
      </c>
      <c r="AL33" s="12"/>
    </row>
    <row r="34" spans="1:38" s="13" customFormat="1" ht="12.75">
      <c r="A34" s="29" t="s">
        <v>96</v>
      </c>
      <c r="B34" s="60" t="s">
        <v>232</v>
      </c>
      <c r="C34" s="39" t="s">
        <v>233</v>
      </c>
      <c r="D34" s="77">
        <v>894194500</v>
      </c>
      <c r="E34" s="78">
        <v>185851620</v>
      </c>
      <c r="F34" s="79">
        <f t="shared" si="0"/>
        <v>1080046120</v>
      </c>
      <c r="G34" s="77">
        <v>897896690</v>
      </c>
      <c r="H34" s="78">
        <v>151717820</v>
      </c>
      <c r="I34" s="80">
        <f t="shared" si="1"/>
        <v>1049614510</v>
      </c>
      <c r="J34" s="77">
        <v>230566738</v>
      </c>
      <c r="K34" s="78">
        <v>12118526</v>
      </c>
      <c r="L34" s="78">
        <f t="shared" si="2"/>
        <v>242685264</v>
      </c>
      <c r="M34" s="40">
        <f t="shared" si="3"/>
        <v>0.22469898229901517</v>
      </c>
      <c r="N34" s="105">
        <v>211745894</v>
      </c>
      <c r="O34" s="106">
        <v>28913574</v>
      </c>
      <c r="P34" s="107">
        <f t="shared" si="4"/>
        <v>240659468</v>
      </c>
      <c r="Q34" s="40">
        <f t="shared" si="5"/>
        <v>0.22282332535947633</v>
      </c>
      <c r="R34" s="105">
        <v>198501374</v>
      </c>
      <c r="S34" s="107">
        <v>10609527</v>
      </c>
      <c r="T34" s="107">
        <f t="shared" si="6"/>
        <v>209110901</v>
      </c>
      <c r="U34" s="40">
        <f t="shared" si="7"/>
        <v>0.19922638169321802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640814006</v>
      </c>
      <c r="AA34" s="78">
        <f t="shared" si="11"/>
        <v>51641627</v>
      </c>
      <c r="AB34" s="78">
        <f t="shared" si="12"/>
        <v>692455633</v>
      </c>
      <c r="AC34" s="40">
        <f t="shared" si="13"/>
        <v>0.6597237618218521</v>
      </c>
      <c r="AD34" s="77">
        <v>146226805</v>
      </c>
      <c r="AE34" s="78">
        <v>14109391</v>
      </c>
      <c r="AF34" s="78">
        <f t="shared" si="14"/>
        <v>160336196</v>
      </c>
      <c r="AG34" s="40">
        <f>IF(909225930=0,0,577587041/909225930)</f>
        <v>0.6352513956569629</v>
      </c>
      <c r="AH34" s="40">
        <f t="shared" si="15"/>
        <v>0.3042027079150611</v>
      </c>
      <c r="AI34" s="12">
        <v>965846930</v>
      </c>
      <c r="AJ34" s="12">
        <v>909225930</v>
      </c>
      <c r="AK34" s="12">
        <v>577587041</v>
      </c>
      <c r="AL34" s="12"/>
    </row>
    <row r="35" spans="1:38" s="13" customFormat="1" ht="12.75">
      <c r="A35" s="29" t="s">
        <v>96</v>
      </c>
      <c r="B35" s="60" t="s">
        <v>234</v>
      </c>
      <c r="C35" s="39" t="s">
        <v>235</v>
      </c>
      <c r="D35" s="77">
        <v>187048761</v>
      </c>
      <c r="E35" s="78">
        <v>42103380</v>
      </c>
      <c r="F35" s="79">
        <f t="shared" si="0"/>
        <v>229152141</v>
      </c>
      <c r="G35" s="77">
        <v>187048761</v>
      </c>
      <c r="H35" s="78">
        <v>42103380</v>
      </c>
      <c r="I35" s="80">
        <f t="shared" si="1"/>
        <v>229152141</v>
      </c>
      <c r="J35" s="77">
        <v>52954879</v>
      </c>
      <c r="K35" s="78">
        <v>10518594</v>
      </c>
      <c r="L35" s="78">
        <f t="shared" si="2"/>
        <v>63473473</v>
      </c>
      <c r="M35" s="40">
        <f t="shared" si="3"/>
        <v>0.27699271201659864</v>
      </c>
      <c r="N35" s="105">
        <v>34177656</v>
      </c>
      <c r="O35" s="106">
        <v>3566393</v>
      </c>
      <c r="P35" s="107">
        <f t="shared" si="4"/>
        <v>37744049</v>
      </c>
      <c r="Q35" s="40">
        <f t="shared" si="5"/>
        <v>0.16471174493630414</v>
      </c>
      <c r="R35" s="105">
        <v>52564883</v>
      </c>
      <c r="S35" s="107">
        <v>457538</v>
      </c>
      <c r="T35" s="107">
        <f t="shared" si="6"/>
        <v>53022421</v>
      </c>
      <c r="U35" s="40">
        <f t="shared" si="7"/>
        <v>0.23138523065337627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139697418</v>
      </c>
      <c r="AA35" s="78">
        <f t="shared" si="11"/>
        <v>14542525</v>
      </c>
      <c r="AB35" s="78">
        <f t="shared" si="12"/>
        <v>154239943</v>
      </c>
      <c r="AC35" s="40">
        <f t="shared" si="13"/>
        <v>0.673089687606279</v>
      </c>
      <c r="AD35" s="77">
        <v>105194217</v>
      </c>
      <c r="AE35" s="78">
        <v>3002429</v>
      </c>
      <c r="AF35" s="78">
        <f t="shared" si="14"/>
        <v>108196646</v>
      </c>
      <c r="AG35" s="40">
        <f>IF(200920392=0,0,257024814/200920392)</f>
        <v>1.279237072163387</v>
      </c>
      <c r="AH35" s="40">
        <f t="shared" si="15"/>
        <v>-0.5099439496488644</v>
      </c>
      <c r="AI35" s="12">
        <v>197429282</v>
      </c>
      <c r="AJ35" s="12">
        <v>200920392</v>
      </c>
      <c r="AK35" s="12">
        <v>257024814</v>
      </c>
      <c r="AL35" s="12"/>
    </row>
    <row r="36" spans="1:38" s="13" customFormat="1" ht="12.75">
      <c r="A36" s="29" t="s">
        <v>115</v>
      </c>
      <c r="B36" s="60" t="s">
        <v>236</v>
      </c>
      <c r="C36" s="39" t="s">
        <v>237</v>
      </c>
      <c r="D36" s="77">
        <v>149740512</v>
      </c>
      <c r="E36" s="78">
        <v>700000</v>
      </c>
      <c r="F36" s="79">
        <f t="shared" si="0"/>
        <v>150440512</v>
      </c>
      <c r="G36" s="77">
        <v>149740512</v>
      </c>
      <c r="H36" s="78">
        <v>700000</v>
      </c>
      <c r="I36" s="80">
        <f t="shared" si="1"/>
        <v>150440512</v>
      </c>
      <c r="J36" s="77">
        <v>64269218</v>
      </c>
      <c r="K36" s="78">
        <v>291044</v>
      </c>
      <c r="L36" s="78">
        <f t="shared" si="2"/>
        <v>64560262</v>
      </c>
      <c r="M36" s="40">
        <f t="shared" si="3"/>
        <v>0.4291414668942366</v>
      </c>
      <c r="N36" s="105">
        <v>47199165</v>
      </c>
      <c r="O36" s="106">
        <v>880557</v>
      </c>
      <c r="P36" s="107">
        <f t="shared" si="4"/>
        <v>48079722</v>
      </c>
      <c r="Q36" s="40">
        <f t="shared" si="5"/>
        <v>0.3195929165675799</v>
      </c>
      <c r="R36" s="105">
        <v>2724532</v>
      </c>
      <c r="S36" s="107">
        <v>2494284</v>
      </c>
      <c r="T36" s="107">
        <f t="shared" si="6"/>
        <v>5218816</v>
      </c>
      <c r="U36" s="40">
        <f t="shared" si="7"/>
        <v>0.034690230248618135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114192915</v>
      </c>
      <c r="AA36" s="78">
        <f t="shared" si="11"/>
        <v>3665885</v>
      </c>
      <c r="AB36" s="78">
        <f t="shared" si="12"/>
        <v>117858800</v>
      </c>
      <c r="AC36" s="40">
        <f t="shared" si="13"/>
        <v>0.7834246137104346</v>
      </c>
      <c r="AD36" s="77">
        <v>641072</v>
      </c>
      <c r="AE36" s="78">
        <v>178284</v>
      </c>
      <c r="AF36" s="78">
        <f t="shared" si="14"/>
        <v>819356</v>
      </c>
      <c r="AG36" s="40">
        <f>IF(161578685=0,0,64254388/161578685)</f>
        <v>0.39766623920723204</v>
      </c>
      <c r="AH36" s="40">
        <f t="shared" si="15"/>
        <v>5.369412074849028</v>
      </c>
      <c r="AI36" s="12">
        <v>156333741</v>
      </c>
      <c r="AJ36" s="12">
        <v>161578685</v>
      </c>
      <c r="AK36" s="12">
        <v>64254388</v>
      </c>
      <c r="AL36" s="12"/>
    </row>
    <row r="37" spans="1:38" s="56" customFormat="1" ht="12.75">
      <c r="A37" s="61"/>
      <c r="B37" s="62" t="s">
        <v>238</v>
      </c>
      <c r="C37" s="32"/>
      <c r="D37" s="81">
        <f>SUM(D32:D36)</f>
        <v>2428311208</v>
      </c>
      <c r="E37" s="82">
        <f>SUM(E32:E36)</f>
        <v>378788939</v>
      </c>
      <c r="F37" s="83">
        <f t="shared" si="0"/>
        <v>2807100147</v>
      </c>
      <c r="G37" s="81">
        <f>SUM(G32:G36)</f>
        <v>2459043313</v>
      </c>
      <c r="H37" s="82">
        <f>SUM(H32:H36)</f>
        <v>368463911</v>
      </c>
      <c r="I37" s="90">
        <f t="shared" si="1"/>
        <v>2827507224</v>
      </c>
      <c r="J37" s="81">
        <f>SUM(J32:J36)</f>
        <v>596804221</v>
      </c>
      <c r="K37" s="92">
        <f>SUM(K32:K36)</f>
        <v>53506676</v>
      </c>
      <c r="L37" s="82">
        <f t="shared" si="2"/>
        <v>650310897</v>
      </c>
      <c r="M37" s="44">
        <f t="shared" si="3"/>
        <v>0.23166643972250128</v>
      </c>
      <c r="N37" s="111">
        <f>SUM(N32:N36)</f>
        <v>542624302</v>
      </c>
      <c r="O37" s="112">
        <f>SUM(O32:O36)</f>
        <v>99502547</v>
      </c>
      <c r="P37" s="113">
        <f t="shared" si="4"/>
        <v>642126849</v>
      </c>
      <c r="Q37" s="44">
        <f t="shared" si="5"/>
        <v>0.22875095841744472</v>
      </c>
      <c r="R37" s="111">
        <f>SUM(R32:R36)</f>
        <v>533214361</v>
      </c>
      <c r="S37" s="113">
        <f>SUM(S32:S36)</f>
        <v>64030361</v>
      </c>
      <c r="T37" s="113">
        <f t="shared" si="6"/>
        <v>597244722</v>
      </c>
      <c r="U37" s="44">
        <f t="shared" si="7"/>
        <v>0.21122659455316745</v>
      </c>
      <c r="V37" s="111">
        <f>SUM(V32:V36)</f>
        <v>0</v>
      </c>
      <c r="W37" s="113">
        <f>SUM(W32:W36)</f>
        <v>0</v>
      </c>
      <c r="X37" s="113">
        <f t="shared" si="8"/>
        <v>0</v>
      </c>
      <c r="Y37" s="44">
        <f t="shared" si="9"/>
        <v>0</v>
      </c>
      <c r="Z37" s="81">
        <f t="shared" si="10"/>
        <v>1672642884</v>
      </c>
      <c r="AA37" s="82">
        <f t="shared" si="11"/>
        <v>217039584</v>
      </c>
      <c r="AB37" s="82">
        <f t="shared" si="12"/>
        <v>1889682468</v>
      </c>
      <c r="AC37" s="44">
        <f t="shared" si="13"/>
        <v>0.6683210044382188</v>
      </c>
      <c r="AD37" s="81">
        <f>SUM(AD32:AD36)</f>
        <v>518795723</v>
      </c>
      <c r="AE37" s="82">
        <f>SUM(AE32:AE36)</f>
        <v>37121313</v>
      </c>
      <c r="AF37" s="82">
        <f t="shared" si="14"/>
        <v>555917036</v>
      </c>
      <c r="AG37" s="44">
        <f>IF(161578685=0,0,64254388/161578685)</f>
        <v>0.39766623920723204</v>
      </c>
      <c r="AH37" s="44">
        <f t="shared" si="15"/>
        <v>0.07434146342656778</v>
      </c>
      <c r="AI37" s="63">
        <f>SUM(AI32:AI36)</f>
        <v>2545702644</v>
      </c>
      <c r="AJ37" s="63">
        <f>SUM(AJ32:AJ36)</f>
        <v>2564892596</v>
      </c>
      <c r="AK37" s="63">
        <f>SUM(AK32:AK36)</f>
        <v>1719374208</v>
      </c>
      <c r="AL37" s="63"/>
    </row>
    <row r="38" spans="1:38" s="56" customFormat="1" ht="12.75">
      <c r="A38" s="61"/>
      <c r="B38" s="62" t="s">
        <v>239</v>
      </c>
      <c r="C38" s="32"/>
      <c r="D38" s="81">
        <f>SUM(D9,D11:D15,D17:D22,D24:D30,D32:D36)</f>
        <v>16641150342</v>
      </c>
      <c r="E38" s="82">
        <f>SUM(E9,E11:E15,E17:E22,E24:E30,E32:E36)</f>
        <v>3475606864</v>
      </c>
      <c r="F38" s="83">
        <f t="shared" si="0"/>
        <v>20116757206</v>
      </c>
      <c r="G38" s="81">
        <f>SUM(G9,G11:G15,G17:G22,G24:G30,G32:G36)</f>
        <v>15662550700</v>
      </c>
      <c r="H38" s="82">
        <f>SUM(H9,H11:H15,H17:H22,H24:H30,H32:H36)</f>
        <v>3221649574</v>
      </c>
      <c r="I38" s="90">
        <f t="shared" si="1"/>
        <v>18884200274</v>
      </c>
      <c r="J38" s="81">
        <f>SUM(J9,J11:J15,J17:J22,J24:J30,J32:J36)</f>
        <v>4458160778</v>
      </c>
      <c r="K38" s="92">
        <f>SUM(K9,K11:K15,K17:K22,K24:K30,K32:K36)</f>
        <v>424383904</v>
      </c>
      <c r="L38" s="82">
        <f t="shared" si="2"/>
        <v>4882544682</v>
      </c>
      <c r="M38" s="44">
        <f t="shared" si="3"/>
        <v>0.24271032512853205</v>
      </c>
      <c r="N38" s="111">
        <f>SUM(N9,N11:N15,N17:N22,N24:N30,N32:N36)</f>
        <v>3350988116</v>
      </c>
      <c r="O38" s="112">
        <f>SUM(O9,O11:O15,O17:O22,O24:O30,O32:O36)</f>
        <v>746424739</v>
      </c>
      <c r="P38" s="113">
        <f t="shared" si="4"/>
        <v>4097412855</v>
      </c>
      <c r="Q38" s="44">
        <f t="shared" si="5"/>
        <v>0.20368157815107052</v>
      </c>
      <c r="R38" s="111">
        <f>SUM(R9,R11:R15,R17:R22,R24:R30,R32:R36)</f>
        <v>3472867091</v>
      </c>
      <c r="S38" s="113">
        <f>SUM(S9,S11:S15,S17:S22,S24:S30,S32:S36)</f>
        <v>634043431</v>
      </c>
      <c r="T38" s="113">
        <f t="shared" si="6"/>
        <v>4106910522</v>
      </c>
      <c r="U38" s="44">
        <f t="shared" si="7"/>
        <v>0.21747865741788627</v>
      </c>
      <c r="V38" s="111">
        <f>SUM(V9,V11:V15,V17:V22,V24:V30,V32:V36)</f>
        <v>0</v>
      </c>
      <c r="W38" s="113">
        <f>SUM(W9,W11:W15,W17:W22,W24:W30,W32:W36)</f>
        <v>0</v>
      </c>
      <c r="X38" s="113">
        <f t="shared" si="8"/>
        <v>0</v>
      </c>
      <c r="Y38" s="44">
        <f t="shared" si="9"/>
        <v>0</v>
      </c>
      <c r="Z38" s="81">
        <f t="shared" si="10"/>
        <v>11282015985</v>
      </c>
      <c r="AA38" s="82">
        <f t="shared" si="11"/>
        <v>1804852074</v>
      </c>
      <c r="AB38" s="82">
        <f t="shared" si="12"/>
        <v>13086868059</v>
      </c>
      <c r="AC38" s="44">
        <f t="shared" si="13"/>
        <v>0.6930062099064985</v>
      </c>
      <c r="AD38" s="81">
        <f>SUM(AD9,AD11:AD15,AD17:AD22,AD24:AD30,AD32:AD36)</f>
        <v>2985107546</v>
      </c>
      <c r="AE38" s="82">
        <f>SUM(AE9,AE11:AE15,AE17:AE22,AE24:AE30,AE32:AE36)</f>
        <v>509412639</v>
      </c>
      <c r="AF38" s="82">
        <f t="shared" si="14"/>
        <v>3494520185</v>
      </c>
      <c r="AG38" s="44">
        <f>IF(161578685=0,0,64254388/161578685)</f>
        <v>0.39766623920723204</v>
      </c>
      <c r="AH38" s="44">
        <f t="shared" si="15"/>
        <v>0.17524303898104399</v>
      </c>
      <c r="AI38" s="63">
        <f>SUM(AI9,AI11:AI15,AI17:AI22,AI24:AI30,AI32:AI36)</f>
        <v>17819838767</v>
      </c>
      <c r="AJ38" s="63">
        <f>SUM(AJ9,AJ11:AJ15,AJ17:AJ22,AJ24:AJ30,AJ32:AJ36)</f>
        <v>17418677841</v>
      </c>
      <c r="AK38" s="63">
        <f>SUM(AK9,AK11:AK15,AK17:AK22,AK24:AK30,AK32:AK36)</f>
        <v>11714311342</v>
      </c>
      <c r="AL38" s="63"/>
    </row>
    <row r="39" spans="1:38" s="13" customFormat="1" ht="12.75">
      <c r="A39" s="64"/>
      <c r="B39" s="65"/>
      <c r="C39" s="66"/>
      <c r="D39" s="93"/>
      <c r="E39" s="93"/>
      <c r="F39" s="94"/>
      <c r="G39" s="95"/>
      <c r="H39" s="93"/>
      <c r="I39" s="96"/>
      <c r="J39" s="95"/>
      <c r="K39" s="97"/>
      <c r="L39" s="93"/>
      <c r="M39" s="70"/>
      <c r="N39" s="95"/>
      <c r="O39" s="97"/>
      <c r="P39" s="93"/>
      <c r="Q39" s="70"/>
      <c r="R39" s="95"/>
      <c r="S39" s="97"/>
      <c r="T39" s="93"/>
      <c r="U39" s="70"/>
      <c r="V39" s="95"/>
      <c r="W39" s="97"/>
      <c r="X39" s="93"/>
      <c r="Y39" s="70"/>
      <c r="Z39" s="95"/>
      <c r="AA39" s="97"/>
      <c r="AB39" s="93"/>
      <c r="AC39" s="70"/>
      <c r="AD39" s="95"/>
      <c r="AE39" s="93"/>
      <c r="AF39" s="93"/>
      <c r="AG39" s="70"/>
      <c r="AH39" s="70"/>
      <c r="AI39" s="12"/>
      <c r="AJ39" s="12"/>
      <c r="AK39" s="12"/>
      <c r="AL39" s="12"/>
    </row>
    <row r="40" spans="1:38" s="13" customFormat="1" ht="12.75">
      <c r="A40" s="12"/>
      <c r="B40" s="57"/>
      <c r="C40" s="12"/>
      <c r="D40" s="88"/>
      <c r="E40" s="88"/>
      <c r="F40" s="88"/>
      <c r="G40" s="88"/>
      <c r="H40" s="88"/>
      <c r="I40" s="88"/>
      <c r="J40" s="88"/>
      <c r="K40" s="88"/>
      <c r="L40" s="88"/>
      <c r="M40" s="12"/>
      <c r="N40" s="88"/>
      <c r="O40" s="88"/>
      <c r="P40" s="88"/>
      <c r="Q40" s="12"/>
      <c r="R40" s="88"/>
      <c r="S40" s="88"/>
      <c r="T40" s="88"/>
      <c r="U40" s="12"/>
      <c r="V40" s="88"/>
      <c r="W40" s="88"/>
      <c r="X40" s="88"/>
      <c r="Y40" s="12"/>
      <c r="Z40" s="88"/>
      <c r="AA40" s="88"/>
      <c r="AB40" s="88"/>
      <c r="AC40" s="12"/>
      <c r="AD40" s="88"/>
      <c r="AE40" s="88"/>
      <c r="AF40" s="88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0" t="s">
        <v>44</v>
      </c>
      <c r="C9" s="39" t="s">
        <v>45</v>
      </c>
      <c r="D9" s="77">
        <v>29454838925</v>
      </c>
      <c r="E9" s="78">
        <v>4471563427</v>
      </c>
      <c r="F9" s="79">
        <f>$D9+$E9</f>
        <v>33926402352</v>
      </c>
      <c r="G9" s="77">
        <v>30267339208</v>
      </c>
      <c r="H9" s="78">
        <v>4647061405</v>
      </c>
      <c r="I9" s="80">
        <f>$G9+$H9</f>
        <v>34914400613</v>
      </c>
      <c r="J9" s="77">
        <v>8609185850</v>
      </c>
      <c r="K9" s="78">
        <v>299927332</v>
      </c>
      <c r="L9" s="78">
        <f>$J9+$K9</f>
        <v>8909113182</v>
      </c>
      <c r="M9" s="40">
        <f>IF($F9=0,0,$L9/$F9)</f>
        <v>0.2626011767933536</v>
      </c>
      <c r="N9" s="105">
        <v>7839798971</v>
      </c>
      <c r="O9" s="106">
        <v>1000625685</v>
      </c>
      <c r="P9" s="107">
        <f>$N9+$O9</f>
        <v>8840424656</v>
      </c>
      <c r="Q9" s="40">
        <f>IF($F9=0,0,$P9/$F9)</f>
        <v>0.2605765434329599</v>
      </c>
      <c r="R9" s="105">
        <v>7399726685</v>
      </c>
      <c r="S9" s="107">
        <v>508666008</v>
      </c>
      <c r="T9" s="107">
        <f>$R9+$S9</f>
        <v>7908392693</v>
      </c>
      <c r="U9" s="40">
        <f>IF($I9=0,0,$T9/$I9)</f>
        <v>0.2265080469419657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23848711506</v>
      </c>
      <c r="AA9" s="78">
        <f>$K9+$O9+$S9</f>
        <v>1809219025</v>
      </c>
      <c r="AB9" s="78">
        <f>$Z9+$AA9</f>
        <v>25657930531</v>
      </c>
      <c r="AC9" s="40">
        <f>IF($I9=0,0,$AB9/$I9)</f>
        <v>0.7348810256088586</v>
      </c>
      <c r="AD9" s="77">
        <v>6368180049</v>
      </c>
      <c r="AE9" s="78">
        <v>587326940</v>
      </c>
      <c r="AF9" s="78">
        <f>$AD9+$AE9</f>
        <v>6955506989</v>
      </c>
      <c r="AG9" s="40">
        <f>IF(30418018055=0,0,21991842750/30418018055)</f>
        <v>0.7229873659169935</v>
      </c>
      <c r="AH9" s="40">
        <f>IF($AF9=0,0,(($T9/$AF9)-1))</f>
        <v>0.1369973037920844</v>
      </c>
      <c r="AI9" s="12">
        <v>30101066616</v>
      </c>
      <c r="AJ9" s="12">
        <v>30418018055</v>
      </c>
      <c r="AK9" s="12">
        <v>21991842750</v>
      </c>
      <c r="AL9" s="12"/>
    </row>
    <row r="10" spans="1:38" s="13" customFormat="1" ht="12.75">
      <c r="A10" s="29" t="s">
        <v>94</v>
      </c>
      <c r="B10" s="60" t="s">
        <v>48</v>
      </c>
      <c r="C10" s="39" t="s">
        <v>49</v>
      </c>
      <c r="D10" s="77">
        <v>43788545550</v>
      </c>
      <c r="E10" s="78">
        <v>9896853000</v>
      </c>
      <c r="F10" s="80">
        <f aca="true" t="shared" si="0" ref="F10:F24">$D10+$E10</f>
        <v>53685398550</v>
      </c>
      <c r="G10" s="77">
        <v>43445895000</v>
      </c>
      <c r="H10" s="78">
        <v>9323557000</v>
      </c>
      <c r="I10" s="80">
        <f aca="true" t="shared" si="1" ref="I10:I24">$G10+$H10</f>
        <v>52769452000</v>
      </c>
      <c r="J10" s="77">
        <v>10892350481</v>
      </c>
      <c r="K10" s="78">
        <v>959228001</v>
      </c>
      <c r="L10" s="78">
        <f aca="true" t="shared" si="2" ref="L10:L24">$J10+$K10</f>
        <v>11851578482</v>
      </c>
      <c r="M10" s="40">
        <f aca="true" t="shared" si="3" ref="M10:M24">IF($F10=0,0,$L10/$F10)</f>
        <v>0.22075981183155433</v>
      </c>
      <c r="N10" s="105">
        <v>9871499531</v>
      </c>
      <c r="O10" s="106">
        <v>1703181000</v>
      </c>
      <c r="P10" s="107">
        <f aca="true" t="shared" si="4" ref="P10:P24">$N10+$O10</f>
        <v>11574680531</v>
      </c>
      <c r="Q10" s="40">
        <f aca="true" t="shared" si="5" ref="Q10:Q24">IF($F10=0,0,$P10/$F10)</f>
        <v>0.21560202296383996</v>
      </c>
      <c r="R10" s="105">
        <v>9791501497</v>
      </c>
      <c r="S10" s="107">
        <v>1416994685</v>
      </c>
      <c r="T10" s="107">
        <f aca="true" t="shared" si="6" ref="T10:T24">$R10+$S10</f>
        <v>11208496182</v>
      </c>
      <c r="U10" s="40">
        <f aca="true" t="shared" si="7" ref="U10:U24">IF($I10=0,0,$T10/$I10)</f>
        <v>0.21240501383262422</v>
      </c>
      <c r="V10" s="105">
        <v>0</v>
      </c>
      <c r="W10" s="107">
        <v>0</v>
      </c>
      <c r="X10" s="107">
        <f aca="true" t="shared" si="8" ref="X10:X24">$V10+$W10</f>
        <v>0</v>
      </c>
      <c r="Y10" s="40">
        <f aca="true" t="shared" si="9" ref="Y10:Y24">IF($I10=0,0,$X10/$I10)</f>
        <v>0</v>
      </c>
      <c r="Z10" s="77">
        <f aca="true" t="shared" si="10" ref="Z10:Z24">$J10+$N10+$R10</f>
        <v>30555351509</v>
      </c>
      <c r="AA10" s="78">
        <f aca="true" t="shared" si="11" ref="AA10:AA24">$K10+$O10+$S10</f>
        <v>4079403686</v>
      </c>
      <c r="AB10" s="78">
        <f aca="true" t="shared" si="12" ref="AB10:AB24">$Z10+$AA10</f>
        <v>34634755195</v>
      </c>
      <c r="AC10" s="40">
        <f aca="true" t="shared" si="13" ref="AC10:AC24">IF($I10=0,0,$AB10/$I10)</f>
        <v>0.6563410056826059</v>
      </c>
      <c r="AD10" s="77">
        <v>10447775798</v>
      </c>
      <c r="AE10" s="78">
        <v>1848847944</v>
      </c>
      <c r="AF10" s="78">
        <f aca="true" t="shared" si="14" ref="AF10:AF24">$AD10+$AE10</f>
        <v>12296623742</v>
      </c>
      <c r="AG10" s="40">
        <f>IF(51356487280=0,0,33458099621/51356487280)</f>
        <v>0.6514873075057402</v>
      </c>
      <c r="AH10" s="40">
        <f aca="true" t="shared" si="15" ref="AH10:AH24">IF($AF10=0,0,(($T10/$AF10)-1))</f>
        <v>-0.08848994511261021</v>
      </c>
      <c r="AI10" s="12">
        <v>49719368000</v>
      </c>
      <c r="AJ10" s="12">
        <v>51356487280</v>
      </c>
      <c r="AK10" s="12">
        <v>33458099621</v>
      </c>
      <c r="AL10" s="12"/>
    </row>
    <row r="11" spans="1:38" s="13" customFormat="1" ht="12.75">
      <c r="A11" s="29" t="s">
        <v>94</v>
      </c>
      <c r="B11" s="60" t="s">
        <v>54</v>
      </c>
      <c r="C11" s="39" t="s">
        <v>55</v>
      </c>
      <c r="D11" s="77">
        <v>26295831494</v>
      </c>
      <c r="E11" s="78">
        <v>3856566482</v>
      </c>
      <c r="F11" s="79">
        <f t="shared" si="0"/>
        <v>30152397976</v>
      </c>
      <c r="G11" s="77">
        <v>26756931049</v>
      </c>
      <c r="H11" s="78">
        <v>3995193296</v>
      </c>
      <c r="I11" s="80">
        <f t="shared" si="1"/>
        <v>30752124345</v>
      </c>
      <c r="J11" s="77">
        <v>6923483276</v>
      </c>
      <c r="K11" s="78">
        <v>386187116</v>
      </c>
      <c r="L11" s="78">
        <f t="shared" si="2"/>
        <v>7309670392</v>
      </c>
      <c r="M11" s="40">
        <f t="shared" si="3"/>
        <v>0.2424241812481442</v>
      </c>
      <c r="N11" s="105">
        <v>6715523394</v>
      </c>
      <c r="O11" s="106">
        <v>1068767092</v>
      </c>
      <c r="P11" s="107">
        <f t="shared" si="4"/>
        <v>7784290486</v>
      </c>
      <c r="Q11" s="40">
        <f t="shared" si="5"/>
        <v>0.2581648893131471</v>
      </c>
      <c r="R11" s="105">
        <v>6291635335</v>
      </c>
      <c r="S11" s="107">
        <v>643512726</v>
      </c>
      <c r="T11" s="107">
        <f t="shared" si="6"/>
        <v>6935148061</v>
      </c>
      <c r="U11" s="40">
        <f t="shared" si="7"/>
        <v>0.2255176905242837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19930642005</v>
      </c>
      <c r="AA11" s="78">
        <f t="shared" si="11"/>
        <v>2098466934</v>
      </c>
      <c r="AB11" s="78">
        <f t="shared" si="12"/>
        <v>22029108939</v>
      </c>
      <c r="AC11" s="40">
        <f t="shared" si="13"/>
        <v>0.716344298425085</v>
      </c>
      <c r="AD11" s="77">
        <v>6266314376</v>
      </c>
      <c r="AE11" s="78">
        <v>581288725</v>
      </c>
      <c r="AF11" s="78">
        <f t="shared" si="14"/>
        <v>6847603101</v>
      </c>
      <c r="AG11" s="40">
        <f>IF(29499742903=0,0,21060025890/29499742903)</f>
        <v>0.7139054045063655</v>
      </c>
      <c r="AH11" s="40">
        <f t="shared" si="15"/>
        <v>0.012784759675573909</v>
      </c>
      <c r="AI11" s="12">
        <v>29107470795</v>
      </c>
      <c r="AJ11" s="12">
        <v>29499742903</v>
      </c>
      <c r="AK11" s="12">
        <v>21060025890</v>
      </c>
      <c r="AL11" s="12"/>
    </row>
    <row r="12" spans="1:38" s="56" customFormat="1" ht="12.75">
      <c r="A12" s="61"/>
      <c r="B12" s="62" t="s">
        <v>95</v>
      </c>
      <c r="C12" s="32"/>
      <c r="D12" s="81">
        <f>SUM(D9:D11)</f>
        <v>99539215969</v>
      </c>
      <c r="E12" s="82">
        <f>SUM(E9:E11)</f>
        <v>18224982909</v>
      </c>
      <c r="F12" s="90">
        <f t="shared" si="0"/>
        <v>117764198878</v>
      </c>
      <c r="G12" s="81">
        <f>SUM(G9:G11)</f>
        <v>100470165257</v>
      </c>
      <c r="H12" s="82">
        <f>SUM(H9:H11)</f>
        <v>17965811701</v>
      </c>
      <c r="I12" s="83">
        <f t="shared" si="1"/>
        <v>118435976958</v>
      </c>
      <c r="J12" s="81">
        <f>SUM(J9:J11)</f>
        <v>26425019607</v>
      </c>
      <c r="K12" s="82">
        <f>SUM(K9:K11)</f>
        <v>1645342449</v>
      </c>
      <c r="L12" s="82">
        <f t="shared" si="2"/>
        <v>28070362056</v>
      </c>
      <c r="M12" s="44">
        <f t="shared" si="3"/>
        <v>0.23836074395648893</v>
      </c>
      <c r="N12" s="111">
        <f>SUM(N9:N11)</f>
        <v>24426821896</v>
      </c>
      <c r="O12" s="112">
        <f>SUM(O9:O11)</f>
        <v>3772573777</v>
      </c>
      <c r="P12" s="113">
        <f t="shared" si="4"/>
        <v>28199395673</v>
      </c>
      <c r="Q12" s="44">
        <f t="shared" si="5"/>
        <v>0.23945643872815442</v>
      </c>
      <c r="R12" s="111">
        <f>SUM(R9:R11)</f>
        <v>23482863517</v>
      </c>
      <c r="S12" s="113">
        <f>SUM(S9:S11)</f>
        <v>2569173419</v>
      </c>
      <c r="T12" s="113">
        <f t="shared" si="6"/>
        <v>26052036936</v>
      </c>
      <c r="U12" s="44">
        <f t="shared" si="7"/>
        <v>0.219967256615265</v>
      </c>
      <c r="V12" s="111">
        <f>SUM(V9:V11)</f>
        <v>0</v>
      </c>
      <c r="W12" s="113">
        <f>SUM(W9:W11)</f>
        <v>0</v>
      </c>
      <c r="X12" s="113">
        <f t="shared" si="8"/>
        <v>0</v>
      </c>
      <c r="Y12" s="44">
        <f t="shared" si="9"/>
        <v>0</v>
      </c>
      <c r="Z12" s="81">
        <f t="shared" si="10"/>
        <v>74334705020</v>
      </c>
      <c r="AA12" s="82">
        <f t="shared" si="11"/>
        <v>7987089645</v>
      </c>
      <c r="AB12" s="82">
        <f t="shared" si="12"/>
        <v>82321794665</v>
      </c>
      <c r="AC12" s="44">
        <f t="shared" si="13"/>
        <v>0.6950742230478929</v>
      </c>
      <c r="AD12" s="81">
        <f>SUM(AD9:AD11)</f>
        <v>23082270223</v>
      </c>
      <c r="AE12" s="82">
        <f>SUM(AE9:AE11)</f>
        <v>3017463609</v>
      </c>
      <c r="AF12" s="82">
        <f t="shared" si="14"/>
        <v>26099733832</v>
      </c>
      <c r="AG12" s="44">
        <f>IF(29499742903=0,0,21060025890/29499742903)</f>
        <v>0.7139054045063655</v>
      </c>
      <c r="AH12" s="44">
        <f t="shared" si="15"/>
        <v>-0.0018274859164089108</v>
      </c>
      <c r="AI12" s="63">
        <f>SUM(AI9:AI11)</f>
        <v>108927905411</v>
      </c>
      <c r="AJ12" s="63">
        <f>SUM(AJ9:AJ11)</f>
        <v>111274248238</v>
      </c>
      <c r="AK12" s="63">
        <f>SUM(AK9:AK11)</f>
        <v>76509968261</v>
      </c>
      <c r="AL12" s="63"/>
    </row>
    <row r="13" spans="1:38" s="13" customFormat="1" ht="12.75">
      <c r="A13" s="29" t="s">
        <v>96</v>
      </c>
      <c r="B13" s="60" t="s">
        <v>62</v>
      </c>
      <c r="C13" s="39" t="s">
        <v>63</v>
      </c>
      <c r="D13" s="77">
        <v>5354652951</v>
      </c>
      <c r="E13" s="78">
        <v>533880960</v>
      </c>
      <c r="F13" s="79">
        <f t="shared" si="0"/>
        <v>5888533911</v>
      </c>
      <c r="G13" s="77">
        <v>5263793854</v>
      </c>
      <c r="H13" s="78">
        <v>335840772</v>
      </c>
      <c r="I13" s="80">
        <f t="shared" si="1"/>
        <v>5599634626</v>
      </c>
      <c r="J13" s="77">
        <v>1481308084</v>
      </c>
      <c r="K13" s="78">
        <v>54899541</v>
      </c>
      <c r="L13" s="78">
        <f t="shared" si="2"/>
        <v>1536207625</v>
      </c>
      <c r="M13" s="40">
        <f t="shared" si="3"/>
        <v>0.26088117147976464</v>
      </c>
      <c r="N13" s="105">
        <v>1068659261</v>
      </c>
      <c r="O13" s="106">
        <v>50035077</v>
      </c>
      <c r="P13" s="107">
        <f t="shared" si="4"/>
        <v>1118694338</v>
      </c>
      <c r="Q13" s="40">
        <f t="shared" si="5"/>
        <v>0.18997841481565342</v>
      </c>
      <c r="R13" s="105">
        <v>1302291375</v>
      </c>
      <c r="S13" s="107">
        <v>20914702</v>
      </c>
      <c r="T13" s="107">
        <f t="shared" si="6"/>
        <v>1323206077</v>
      </c>
      <c r="U13" s="40">
        <f t="shared" si="7"/>
        <v>0.2363022170868332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3852258720</v>
      </c>
      <c r="AA13" s="78">
        <f t="shared" si="11"/>
        <v>125849320</v>
      </c>
      <c r="AB13" s="78">
        <f t="shared" si="12"/>
        <v>3978108040</v>
      </c>
      <c r="AC13" s="40">
        <f t="shared" si="13"/>
        <v>0.7104227875027788</v>
      </c>
      <c r="AD13" s="77">
        <v>1213555369</v>
      </c>
      <c r="AE13" s="78">
        <v>31987643</v>
      </c>
      <c r="AF13" s="78">
        <f t="shared" si="14"/>
        <v>1245543012</v>
      </c>
      <c r="AG13" s="40">
        <f>IF(5326616389=0,0,3848493010/5326616389)</f>
        <v>0.7225023784231067</v>
      </c>
      <c r="AH13" s="40">
        <f t="shared" si="15"/>
        <v>0.06235277646116333</v>
      </c>
      <c r="AI13" s="12">
        <v>5116961036</v>
      </c>
      <c r="AJ13" s="12">
        <v>5326616389</v>
      </c>
      <c r="AK13" s="12">
        <v>3848493010</v>
      </c>
      <c r="AL13" s="12"/>
    </row>
    <row r="14" spans="1:38" s="13" customFormat="1" ht="12.75">
      <c r="A14" s="29" t="s">
        <v>96</v>
      </c>
      <c r="B14" s="60" t="s">
        <v>240</v>
      </c>
      <c r="C14" s="39" t="s">
        <v>241</v>
      </c>
      <c r="D14" s="77">
        <v>879096777</v>
      </c>
      <c r="E14" s="78">
        <v>91790000</v>
      </c>
      <c r="F14" s="79">
        <f t="shared" si="0"/>
        <v>970886777</v>
      </c>
      <c r="G14" s="77">
        <v>827105013</v>
      </c>
      <c r="H14" s="78">
        <v>92569404</v>
      </c>
      <c r="I14" s="80">
        <f t="shared" si="1"/>
        <v>919674417</v>
      </c>
      <c r="J14" s="77">
        <v>211753950</v>
      </c>
      <c r="K14" s="78">
        <v>7090948</v>
      </c>
      <c r="L14" s="78">
        <f t="shared" si="2"/>
        <v>218844898</v>
      </c>
      <c r="M14" s="40">
        <f t="shared" si="3"/>
        <v>0.2254072289214008</v>
      </c>
      <c r="N14" s="105">
        <v>209708224</v>
      </c>
      <c r="O14" s="106">
        <v>14723440</v>
      </c>
      <c r="P14" s="107">
        <f t="shared" si="4"/>
        <v>224431664</v>
      </c>
      <c r="Q14" s="40">
        <f t="shared" si="5"/>
        <v>0.2311615209071902</v>
      </c>
      <c r="R14" s="105">
        <v>187984388</v>
      </c>
      <c r="S14" s="107">
        <v>16212169</v>
      </c>
      <c r="T14" s="107">
        <f t="shared" si="6"/>
        <v>204196557</v>
      </c>
      <c r="U14" s="40">
        <f t="shared" si="7"/>
        <v>0.2220313550376818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609446562</v>
      </c>
      <c r="AA14" s="78">
        <f t="shared" si="11"/>
        <v>38026557</v>
      </c>
      <c r="AB14" s="78">
        <f t="shared" si="12"/>
        <v>647473119</v>
      </c>
      <c r="AC14" s="40">
        <f t="shared" si="13"/>
        <v>0.704024279714198</v>
      </c>
      <c r="AD14" s="77">
        <v>173590780</v>
      </c>
      <c r="AE14" s="78">
        <v>12778974</v>
      </c>
      <c r="AF14" s="78">
        <f t="shared" si="14"/>
        <v>186369754</v>
      </c>
      <c r="AG14" s="40">
        <f>IF(848316383=0,0,593647035/848316383)</f>
        <v>0.6997943773060433</v>
      </c>
      <c r="AH14" s="40">
        <f t="shared" si="15"/>
        <v>0.09565287616358598</v>
      </c>
      <c r="AI14" s="12">
        <v>821776228</v>
      </c>
      <c r="AJ14" s="12">
        <v>848316383</v>
      </c>
      <c r="AK14" s="12">
        <v>593647035</v>
      </c>
      <c r="AL14" s="12"/>
    </row>
    <row r="15" spans="1:38" s="13" customFormat="1" ht="12.75">
      <c r="A15" s="29" t="s">
        <v>96</v>
      </c>
      <c r="B15" s="60" t="s">
        <v>242</v>
      </c>
      <c r="C15" s="39" t="s">
        <v>243</v>
      </c>
      <c r="D15" s="77">
        <v>598038443</v>
      </c>
      <c r="E15" s="78">
        <v>52199000</v>
      </c>
      <c r="F15" s="79">
        <f t="shared" si="0"/>
        <v>650237443</v>
      </c>
      <c r="G15" s="77">
        <v>621312405</v>
      </c>
      <c r="H15" s="78">
        <v>45086528</v>
      </c>
      <c r="I15" s="80">
        <f t="shared" si="1"/>
        <v>666398933</v>
      </c>
      <c r="J15" s="77">
        <v>213638321</v>
      </c>
      <c r="K15" s="78">
        <v>2376867</v>
      </c>
      <c r="L15" s="78">
        <f t="shared" si="2"/>
        <v>216015188</v>
      </c>
      <c r="M15" s="40">
        <f t="shared" si="3"/>
        <v>0.3322097032791143</v>
      </c>
      <c r="N15" s="105">
        <v>99580418</v>
      </c>
      <c r="O15" s="106">
        <v>3066414</v>
      </c>
      <c r="P15" s="107">
        <f t="shared" si="4"/>
        <v>102646832</v>
      </c>
      <c r="Q15" s="40">
        <f t="shared" si="5"/>
        <v>0.15786053710844208</v>
      </c>
      <c r="R15" s="105">
        <v>135033292</v>
      </c>
      <c r="S15" s="107">
        <v>5253499</v>
      </c>
      <c r="T15" s="107">
        <f t="shared" si="6"/>
        <v>140286791</v>
      </c>
      <c r="U15" s="40">
        <f t="shared" si="7"/>
        <v>0.21051472932055248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448252031</v>
      </c>
      <c r="AA15" s="78">
        <f t="shared" si="11"/>
        <v>10696780</v>
      </c>
      <c r="AB15" s="78">
        <f t="shared" si="12"/>
        <v>458948811</v>
      </c>
      <c r="AC15" s="40">
        <f t="shared" si="13"/>
        <v>0.6886997986835012</v>
      </c>
      <c r="AD15" s="77">
        <v>138497109</v>
      </c>
      <c r="AE15" s="78">
        <v>3519900</v>
      </c>
      <c r="AF15" s="78">
        <f t="shared" si="14"/>
        <v>142017009</v>
      </c>
      <c r="AG15" s="40">
        <f>IF(607080075=0,0,419503892/607080075)</f>
        <v>0.6910190422573167</v>
      </c>
      <c r="AH15" s="40">
        <f t="shared" si="15"/>
        <v>-0.012183174481586234</v>
      </c>
      <c r="AI15" s="12">
        <v>593822132</v>
      </c>
      <c r="AJ15" s="12">
        <v>607080075</v>
      </c>
      <c r="AK15" s="12">
        <v>419503892</v>
      </c>
      <c r="AL15" s="12"/>
    </row>
    <row r="16" spans="1:38" s="13" customFormat="1" ht="12.75">
      <c r="A16" s="29" t="s">
        <v>115</v>
      </c>
      <c r="B16" s="60" t="s">
        <v>244</v>
      </c>
      <c r="C16" s="39" t="s">
        <v>245</v>
      </c>
      <c r="D16" s="77">
        <v>359766000</v>
      </c>
      <c r="E16" s="78">
        <v>13616000</v>
      </c>
      <c r="F16" s="79">
        <f t="shared" si="0"/>
        <v>373382000</v>
      </c>
      <c r="G16" s="77">
        <v>361853151</v>
      </c>
      <c r="H16" s="78">
        <v>9950741</v>
      </c>
      <c r="I16" s="80">
        <f t="shared" si="1"/>
        <v>371803892</v>
      </c>
      <c r="J16" s="77">
        <v>113726337</v>
      </c>
      <c r="K16" s="78">
        <v>1811703</v>
      </c>
      <c r="L16" s="78">
        <f t="shared" si="2"/>
        <v>115538040</v>
      </c>
      <c r="M16" s="40">
        <f t="shared" si="3"/>
        <v>0.30943655559186034</v>
      </c>
      <c r="N16" s="105">
        <v>97055283</v>
      </c>
      <c r="O16" s="106">
        <v>1917409</v>
      </c>
      <c r="P16" s="107">
        <f t="shared" si="4"/>
        <v>98972692</v>
      </c>
      <c r="Q16" s="40">
        <f t="shared" si="5"/>
        <v>0.26507087111858635</v>
      </c>
      <c r="R16" s="105">
        <v>87290497</v>
      </c>
      <c r="S16" s="107">
        <v>3167077</v>
      </c>
      <c r="T16" s="107">
        <f t="shared" si="6"/>
        <v>90457574</v>
      </c>
      <c r="U16" s="40">
        <f t="shared" si="7"/>
        <v>0.24329377918400058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298072117</v>
      </c>
      <c r="AA16" s="78">
        <f t="shared" si="11"/>
        <v>6896189</v>
      </c>
      <c r="AB16" s="78">
        <f t="shared" si="12"/>
        <v>304968306</v>
      </c>
      <c r="AC16" s="40">
        <f t="shared" si="13"/>
        <v>0.8202396816222677</v>
      </c>
      <c r="AD16" s="77">
        <v>89592100</v>
      </c>
      <c r="AE16" s="78">
        <v>2351456</v>
      </c>
      <c r="AF16" s="78">
        <f t="shared" si="14"/>
        <v>91943556</v>
      </c>
      <c r="AG16" s="40">
        <f>IF(396639917=0,0,305497086/396639917)</f>
        <v>0.7702126611729803</v>
      </c>
      <c r="AH16" s="40">
        <f t="shared" si="15"/>
        <v>-0.01616189393414369</v>
      </c>
      <c r="AI16" s="12">
        <v>366083399</v>
      </c>
      <c r="AJ16" s="12">
        <v>396639917</v>
      </c>
      <c r="AK16" s="12">
        <v>305497086</v>
      </c>
      <c r="AL16" s="12"/>
    </row>
    <row r="17" spans="1:38" s="56" customFormat="1" ht="12.75">
      <c r="A17" s="61"/>
      <c r="B17" s="62" t="s">
        <v>246</v>
      </c>
      <c r="C17" s="32"/>
      <c r="D17" s="81">
        <f>SUM(D13:D16)</f>
        <v>7191554171</v>
      </c>
      <c r="E17" s="82">
        <f>SUM(E13:E16)</f>
        <v>691485960</v>
      </c>
      <c r="F17" s="90">
        <f t="shared" si="0"/>
        <v>7883040131</v>
      </c>
      <c r="G17" s="81">
        <f>SUM(G13:G16)</f>
        <v>7074064423</v>
      </c>
      <c r="H17" s="82">
        <f>SUM(H13:H16)</f>
        <v>483447445</v>
      </c>
      <c r="I17" s="83">
        <f t="shared" si="1"/>
        <v>7557511868</v>
      </c>
      <c r="J17" s="81">
        <f>SUM(J13:J16)</f>
        <v>2020426692</v>
      </c>
      <c r="K17" s="82">
        <f>SUM(K13:K16)</f>
        <v>66179059</v>
      </c>
      <c r="L17" s="82">
        <f t="shared" si="2"/>
        <v>2086605751</v>
      </c>
      <c r="M17" s="44">
        <f t="shared" si="3"/>
        <v>0.26469556368163566</v>
      </c>
      <c r="N17" s="111">
        <f>SUM(N13:N16)</f>
        <v>1475003186</v>
      </c>
      <c r="O17" s="112">
        <f>SUM(O13:O16)</f>
        <v>69742340</v>
      </c>
      <c r="P17" s="113">
        <f t="shared" si="4"/>
        <v>1544745526</v>
      </c>
      <c r="Q17" s="44">
        <f t="shared" si="5"/>
        <v>0.19595809488845542</v>
      </c>
      <c r="R17" s="111">
        <f>SUM(R13:R16)</f>
        <v>1712599552</v>
      </c>
      <c r="S17" s="113">
        <f>SUM(S13:S16)</f>
        <v>45547447</v>
      </c>
      <c r="T17" s="113">
        <f t="shared" si="6"/>
        <v>1758146999</v>
      </c>
      <c r="U17" s="44">
        <f t="shared" si="7"/>
        <v>0.2326356914428864</v>
      </c>
      <c r="V17" s="111">
        <f>SUM(V13:V16)</f>
        <v>0</v>
      </c>
      <c r="W17" s="113">
        <f>SUM(W13:W16)</f>
        <v>0</v>
      </c>
      <c r="X17" s="113">
        <f t="shared" si="8"/>
        <v>0</v>
      </c>
      <c r="Y17" s="44">
        <f t="shared" si="9"/>
        <v>0</v>
      </c>
      <c r="Z17" s="81">
        <f t="shared" si="10"/>
        <v>5208029430</v>
      </c>
      <c r="AA17" s="82">
        <f t="shared" si="11"/>
        <v>181468846</v>
      </c>
      <c r="AB17" s="82">
        <f t="shared" si="12"/>
        <v>5389498276</v>
      </c>
      <c r="AC17" s="44">
        <f t="shared" si="13"/>
        <v>0.7131313016947022</v>
      </c>
      <c r="AD17" s="81">
        <f>SUM(AD13:AD16)</f>
        <v>1615235358</v>
      </c>
      <c r="AE17" s="82">
        <f>SUM(AE13:AE16)</f>
        <v>50637973</v>
      </c>
      <c r="AF17" s="82">
        <f t="shared" si="14"/>
        <v>1665873331</v>
      </c>
      <c r="AG17" s="44">
        <f>IF(396639917=0,0,305497086/396639917)</f>
        <v>0.7702126611729803</v>
      </c>
      <c r="AH17" s="44">
        <f t="shared" si="15"/>
        <v>0.05539056678733756</v>
      </c>
      <c r="AI17" s="63">
        <f>SUM(AI13:AI16)</f>
        <v>6898642795</v>
      </c>
      <c r="AJ17" s="63">
        <f>SUM(AJ13:AJ16)</f>
        <v>7178652764</v>
      </c>
      <c r="AK17" s="63">
        <f>SUM(AK13:AK16)</f>
        <v>5167141023</v>
      </c>
      <c r="AL17" s="63"/>
    </row>
    <row r="18" spans="1:38" s="13" customFormat="1" ht="12.75">
      <c r="A18" s="29" t="s">
        <v>96</v>
      </c>
      <c r="B18" s="60" t="s">
        <v>74</v>
      </c>
      <c r="C18" s="39" t="s">
        <v>75</v>
      </c>
      <c r="D18" s="77">
        <v>2249520584</v>
      </c>
      <c r="E18" s="78">
        <v>293360149</v>
      </c>
      <c r="F18" s="79">
        <f t="shared" si="0"/>
        <v>2542880733</v>
      </c>
      <c r="G18" s="77">
        <v>2263205523</v>
      </c>
      <c r="H18" s="78">
        <v>383640412</v>
      </c>
      <c r="I18" s="80">
        <f t="shared" si="1"/>
        <v>2646845935</v>
      </c>
      <c r="J18" s="77">
        <v>572941890</v>
      </c>
      <c r="K18" s="78">
        <v>29401255</v>
      </c>
      <c r="L18" s="78">
        <f t="shared" si="2"/>
        <v>602343145</v>
      </c>
      <c r="M18" s="40">
        <f t="shared" si="3"/>
        <v>0.23687432020823762</v>
      </c>
      <c r="N18" s="105">
        <v>562634690</v>
      </c>
      <c r="O18" s="106">
        <v>96816820</v>
      </c>
      <c r="P18" s="107">
        <f t="shared" si="4"/>
        <v>659451510</v>
      </c>
      <c r="Q18" s="40">
        <f t="shared" si="5"/>
        <v>0.25933245765010876</v>
      </c>
      <c r="R18" s="105">
        <v>562691621</v>
      </c>
      <c r="S18" s="107">
        <v>70149315</v>
      </c>
      <c r="T18" s="107">
        <f t="shared" si="6"/>
        <v>632840936</v>
      </c>
      <c r="U18" s="40">
        <f t="shared" si="7"/>
        <v>0.2390924713946375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1698268201</v>
      </c>
      <c r="AA18" s="78">
        <f t="shared" si="11"/>
        <v>196367390</v>
      </c>
      <c r="AB18" s="78">
        <f t="shared" si="12"/>
        <v>1894635591</v>
      </c>
      <c r="AC18" s="40">
        <f t="shared" si="13"/>
        <v>0.7158087918706156</v>
      </c>
      <c r="AD18" s="77">
        <v>575308055</v>
      </c>
      <c r="AE18" s="78">
        <v>68294498</v>
      </c>
      <c r="AF18" s="78">
        <f t="shared" si="14"/>
        <v>643602553</v>
      </c>
      <c r="AG18" s="40">
        <f>IF(2498156937=0,0,1710775845/2498156937)</f>
        <v>0.6848152010235377</v>
      </c>
      <c r="AH18" s="40">
        <f t="shared" si="15"/>
        <v>-0.01672090477242094</v>
      </c>
      <c r="AI18" s="12">
        <v>2485303817</v>
      </c>
      <c r="AJ18" s="12">
        <v>2498156937</v>
      </c>
      <c r="AK18" s="12">
        <v>1710775845</v>
      </c>
      <c r="AL18" s="12"/>
    </row>
    <row r="19" spans="1:38" s="13" customFormat="1" ht="12.75">
      <c r="A19" s="29" t="s">
        <v>96</v>
      </c>
      <c r="B19" s="60" t="s">
        <v>247</v>
      </c>
      <c r="C19" s="39" t="s">
        <v>248</v>
      </c>
      <c r="D19" s="77">
        <v>940838846</v>
      </c>
      <c r="E19" s="78">
        <v>103097000</v>
      </c>
      <c r="F19" s="79">
        <f t="shared" si="0"/>
        <v>1043935846</v>
      </c>
      <c r="G19" s="77">
        <v>946070608</v>
      </c>
      <c r="H19" s="78">
        <v>125699859</v>
      </c>
      <c r="I19" s="80">
        <f t="shared" si="1"/>
        <v>1071770467</v>
      </c>
      <c r="J19" s="77">
        <v>233999325</v>
      </c>
      <c r="K19" s="78">
        <v>11213755</v>
      </c>
      <c r="L19" s="78">
        <f t="shared" si="2"/>
        <v>245213080</v>
      </c>
      <c r="M19" s="40">
        <f t="shared" si="3"/>
        <v>0.23489286333022422</v>
      </c>
      <c r="N19" s="105">
        <v>227860172</v>
      </c>
      <c r="O19" s="106">
        <v>27999051</v>
      </c>
      <c r="P19" s="107">
        <f t="shared" si="4"/>
        <v>255859223</v>
      </c>
      <c r="Q19" s="40">
        <f t="shared" si="5"/>
        <v>0.24509094498513848</v>
      </c>
      <c r="R19" s="105">
        <v>204439173</v>
      </c>
      <c r="S19" s="107">
        <v>19564221</v>
      </c>
      <c r="T19" s="107">
        <f t="shared" si="6"/>
        <v>224003394</v>
      </c>
      <c r="U19" s="40">
        <f t="shared" si="7"/>
        <v>0.2090031409682424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666298670</v>
      </c>
      <c r="AA19" s="78">
        <f t="shared" si="11"/>
        <v>58777027</v>
      </c>
      <c r="AB19" s="78">
        <f t="shared" si="12"/>
        <v>725075697</v>
      </c>
      <c r="AC19" s="40">
        <f t="shared" si="13"/>
        <v>0.6765214374954409</v>
      </c>
      <c r="AD19" s="77">
        <v>196843542</v>
      </c>
      <c r="AE19" s="78">
        <v>16625936</v>
      </c>
      <c r="AF19" s="78">
        <f t="shared" si="14"/>
        <v>213469478</v>
      </c>
      <c r="AG19" s="40">
        <f>IF(998550976=0,0,667567228/998550976)</f>
        <v>0.6685359526402386</v>
      </c>
      <c r="AH19" s="40">
        <f t="shared" si="15"/>
        <v>0.04934623955936224</v>
      </c>
      <c r="AI19" s="12">
        <v>1005379056</v>
      </c>
      <c r="AJ19" s="12">
        <v>998550976</v>
      </c>
      <c r="AK19" s="12">
        <v>667567228</v>
      </c>
      <c r="AL19" s="12"/>
    </row>
    <row r="20" spans="1:38" s="13" customFormat="1" ht="12.75">
      <c r="A20" s="29" t="s">
        <v>96</v>
      </c>
      <c r="B20" s="60" t="s">
        <v>249</v>
      </c>
      <c r="C20" s="39" t="s">
        <v>250</v>
      </c>
      <c r="D20" s="77">
        <v>575837829</v>
      </c>
      <c r="E20" s="78">
        <v>62322354</v>
      </c>
      <c r="F20" s="79">
        <f t="shared" si="0"/>
        <v>638160183</v>
      </c>
      <c r="G20" s="77">
        <v>541657828</v>
      </c>
      <c r="H20" s="78">
        <v>62322354</v>
      </c>
      <c r="I20" s="80">
        <f t="shared" si="1"/>
        <v>603980182</v>
      </c>
      <c r="J20" s="77">
        <v>193899664</v>
      </c>
      <c r="K20" s="78">
        <v>864000</v>
      </c>
      <c r="L20" s="78">
        <f t="shared" si="2"/>
        <v>194763664</v>
      </c>
      <c r="M20" s="40">
        <f t="shared" si="3"/>
        <v>0.30519557501129774</v>
      </c>
      <c r="N20" s="105">
        <v>153566758</v>
      </c>
      <c r="O20" s="106">
        <v>15593002</v>
      </c>
      <c r="P20" s="107">
        <f t="shared" si="4"/>
        <v>169159760</v>
      </c>
      <c r="Q20" s="40">
        <f t="shared" si="5"/>
        <v>0.2650741373502458</v>
      </c>
      <c r="R20" s="105">
        <v>178235815</v>
      </c>
      <c r="S20" s="107">
        <v>48648076</v>
      </c>
      <c r="T20" s="107">
        <f t="shared" si="6"/>
        <v>226883891</v>
      </c>
      <c r="U20" s="40">
        <f t="shared" si="7"/>
        <v>0.37564790660631314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525702237</v>
      </c>
      <c r="AA20" s="78">
        <f t="shared" si="11"/>
        <v>65105078</v>
      </c>
      <c r="AB20" s="78">
        <f t="shared" si="12"/>
        <v>590807315</v>
      </c>
      <c r="AC20" s="40">
        <f t="shared" si="13"/>
        <v>0.9781899019329081</v>
      </c>
      <c r="AD20" s="77">
        <v>98449349</v>
      </c>
      <c r="AE20" s="78">
        <v>29350541</v>
      </c>
      <c r="AF20" s="78">
        <f t="shared" si="14"/>
        <v>127799890</v>
      </c>
      <c r="AG20" s="40">
        <f>IF(702710446=0,0,454929713/702710446)</f>
        <v>0.6473928423713798</v>
      </c>
      <c r="AH20" s="40">
        <f t="shared" si="15"/>
        <v>0.77530583946512</v>
      </c>
      <c r="AI20" s="12">
        <v>558465880</v>
      </c>
      <c r="AJ20" s="12">
        <v>702710446</v>
      </c>
      <c r="AK20" s="12">
        <v>454929713</v>
      </c>
      <c r="AL20" s="12"/>
    </row>
    <row r="21" spans="1:38" s="13" customFormat="1" ht="12.75">
      <c r="A21" s="29" t="s">
        <v>96</v>
      </c>
      <c r="B21" s="60" t="s">
        <v>251</v>
      </c>
      <c r="C21" s="39" t="s">
        <v>252</v>
      </c>
      <c r="D21" s="77">
        <v>1076064710</v>
      </c>
      <c r="E21" s="78">
        <v>76008000</v>
      </c>
      <c r="F21" s="79">
        <f t="shared" si="0"/>
        <v>1152072710</v>
      </c>
      <c r="G21" s="77">
        <v>1178713753</v>
      </c>
      <c r="H21" s="78">
        <v>212947767</v>
      </c>
      <c r="I21" s="80">
        <f t="shared" si="1"/>
        <v>1391661520</v>
      </c>
      <c r="J21" s="77">
        <v>312741503</v>
      </c>
      <c r="K21" s="78">
        <v>2904298</v>
      </c>
      <c r="L21" s="78">
        <f t="shared" si="2"/>
        <v>315645801</v>
      </c>
      <c r="M21" s="40">
        <f t="shared" si="3"/>
        <v>0.2739807984862344</v>
      </c>
      <c r="N21" s="105">
        <v>297389099</v>
      </c>
      <c r="O21" s="106">
        <v>32028562</v>
      </c>
      <c r="P21" s="107">
        <f t="shared" si="4"/>
        <v>329417661</v>
      </c>
      <c r="Q21" s="40">
        <f t="shared" si="5"/>
        <v>0.2859347835780261</v>
      </c>
      <c r="R21" s="105">
        <v>150783580</v>
      </c>
      <c r="S21" s="107">
        <v>41014453</v>
      </c>
      <c r="T21" s="107">
        <f t="shared" si="6"/>
        <v>191798033</v>
      </c>
      <c r="U21" s="40">
        <f t="shared" si="7"/>
        <v>0.13781945555266917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760914182</v>
      </c>
      <c r="AA21" s="78">
        <f t="shared" si="11"/>
        <v>75947313</v>
      </c>
      <c r="AB21" s="78">
        <f t="shared" si="12"/>
        <v>836861495</v>
      </c>
      <c r="AC21" s="40">
        <f t="shared" si="13"/>
        <v>0.6013398250747064</v>
      </c>
      <c r="AD21" s="77">
        <v>273669693</v>
      </c>
      <c r="AE21" s="78">
        <v>31584143</v>
      </c>
      <c r="AF21" s="78">
        <f t="shared" si="14"/>
        <v>305253836</v>
      </c>
      <c r="AG21" s="40">
        <f>IF(1349072807=0,0,848510404/1349072807)</f>
        <v>0.6289581997333966</v>
      </c>
      <c r="AH21" s="40">
        <f t="shared" si="15"/>
        <v>-0.37167691153928695</v>
      </c>
      <c r="AI21" s="12">
        <v>1464853603</v>
      </c>
      <c r="AJ21" s="12">
        <v>1349072807</v>
      </c>
      <c r="AK21" s="12">
        <v>848510404</v>
      </c>
      <c r="AL21" s="12"/>
    </row>
    <row r="22" spans="1:38" s="13" customFormat="1" ht="12.75">
      <c r="A22" s="29" t="s">
        <v>115</v>
      </c>
      <c r="B22" s="60" t="s">
        <v>253</v>
      </c>
      <c r="C22" s="39" t="s">
        <v>254</v>
      </c>
      <c r="D22" s="77">
        <v>298428689</v>
      </c>
      <c r="E22" s="78">
        <v>20100000</v>
      </c>
      <c r="F22" s="79">
        <f t="shared" si="0"/>
        <v>318528689</v>
      </c>
      <c r="G22" s="77">
        <v>306801812</v>
      </c>
      <c r="H22" s="78">
        <v>10200000</v>
      </c>
      <c r="I22" s="80">
        <f t="shared" si="1"/>
        <v>317001812</v>
      </c>
      <c r="J22" s="77">
        <v>107294323</v>
      </c>
      <c r="K22" s="78">
        <v>0</v>
      </c>
      <c r="L22" s="78">
        <f t="shared" si="2"/>
        <v>107294323</v>
      </c>
      <c r="M22" s="40">
        <f t="shared" si="3"/>
        <v>0.3368435142744709</v>
      </c>
      <c r="N22" s="105">
        <v>74626677</v>
      </c>
      <c r="O22" s="106">
        <v>1695191</v>
      </c>
      <c r="P22" s="107">
        <f t="shared" si="4"/>
        <v>76321868</v>
      </c>
      <c r="Q22" s="40">
        <f t="shared" si="5"/>
        <v>0.2396075161694462</v>
      </c>
      <c r="R22" s="105">
        <v>86579494</v>
      </c>
      <c r="S22" s="107">
        <v>6200338</v>
      </c>
      <c r="T22" s="107">
        <f t="shared" si="6"/>
        <v>92779832</v>
      </c>
      <c r="U22" s="40">
        <f t="shared" si="7"/>
        <v>0.2926791850640904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268500494</v>
      </c>
      <c r="AA22" s="78">
        <f t="shared" si="11"/>
        <v>7895529</v>
      </c>
      <c r="AB22" s="78">
        <f t="shared" si="12"/>
        <v>276396023</v>
      </c>
      <c r="AC22" s="40">
        <f t="shared" si="13"/>
        <v>0.871906760583438</v>
      </c>
      <c r="AD22" s="77">
        <v>66581432</v>
      </c>
      <c r="AE22" s="78">
        <v>0</v>
      </c>
      <c r="AF22" s="78">
        <f t="shared" si="14"/>
        <v>66581432</v>
      </c>
      <c r="AG22" s="40">
        <f>IF(295004781=0,0,168833314/295004781)</f>
        <v>0.5723070433899171</v>
      </c>
      <c r="AH22" s="40">
        <f t="shared" si="15"/>
        <v>0.393479070861678</v>
      </c>
      <c r="AI22" s="12">
        <v>293072772</v>
      </c>
      <c r="AJ22" s="12">
        <v>295004781</v>
      </c>
      <c r="AK22" s="12">
        <v>168833314</v>
      </c>
      <c r="AL22" s="12"/>
    </row>
    <row r="23" spans="1:38" s="56" customFormat="1" ht="12.75">
      <c r="A23" s="61"/>
      <c r="B23" s="62" t="s">
        <v>255</v>
      </c>
      <c r="C23" s="32"/>
      <c r="D23" s="81">
        <f>SUM(D18:D22)</f>
        <v>5140690658</v>
      </c>
      <c r="E23" s="82">
        <f>SUM(E18:E22)</f>
        <v>554887503</v>
      </c>
      <c r="F23" s="90">
        <f t="shared" si="0"/>
        <v>5695578161</v>
      </c>
      <c r="G23" s="81">
        <f>SUM(G18:G22)</f>
        <v>5236449524</v>
      </c>
      <c r="H23" s="82">
        <f>SUM(H18:H22)</f>
        <v>794810392</v>
      </c>
      <c r="I23" s="83">
        <f t="shared" si="1"/>
        <v>6031259916</v>
      </c>
      <c r="J23" s="81">
        <f>SUM(J18:J22)</f>
        <v>1420876705</v>
      </c>
      <c r="K23" s="82">
        <f>SUM(K18:K22)</f>
        <v>44383308</v>
      </c>
      <c r="L23" s="82">
        <f t="shared" si="2"/>
        <v>1465260013</v>
      </c>
      <c r="M23" s="44">
        <f t="shared" si="3"/>
        <v>0.2572627346303922</v>
      </c>
      <c r="N23" s="111">
        <f>SUM(N18:N22)</f>
        <v>1316077396</v>
      </c>
      <c r="O23" s="112">
        <f>SUM(O18:O22)</f>
        <v>174132626</v>
      </c>
      <c r="P23" s="113">
        <f t="shared" si="4"/>
        <v>1490210022</v>
      </c>
      <c r="Q23" s="44">
        <f t="shared" si="5"/>
        <v>0.2616433274858889</v>
      </c>
      <c r="R23" s="111">
        <f>SUM(R18:R22)</f>
        <v>1182729683</v>
      </c>
      <c r="S23" s="113">
        <f>SUM(S18:S22)</f>
        <v>185576403</v>
      </c>
      <c r="T23" s="113">
        <f t="shared" si="6"/>
        <v>1368306086</v>
      </c>
      <c r="U23" s="44">
        <f t="shared" si="7"/>
        <v>0.22686902986390878</v>
      </c>
      <c r="V23" s="111">
        <f>SUM(V18:V22)</f>
        <v>0</v>
      </c>
      <c r="W23" s="113">
        <f>SUM(W18:W22)</f>
        <v>0</v>
      </c>
      <c r="X23" s="113">
        <f t="shared" si="8"/>
        <v>0</v>
      </c>
      <c r="Y23" s="44">
        <f t="shared" si="9"/>
        <v>0</v>
      </c>
      <c r="Z23" s="81">
        <f t="shared" si="10"/>
        <v>3919683784</v>
      </c>
      <c r="AA23" s="82">
        <f t="shared" si="11"/>
        <v>404092337</v>
      </c>
      <c r="AB23" s="82">
        <f t="shared" si="12"/>
        <v>4323776121</v>
      </c>
      <c r="AC23" s="44">
        <f t="shared" si="13"/>
        <v>0.7168943440042587</v>
      </c>
      <c r="AD23" s="81">
        <f>SUM(AD18:AD22)</f>
        <v>1210852071</v>
      </c>
      <c r="AE23" s="82">
        <f>SUM(AE18:AE22)</f>
        <v>145855118</v>
      </c>
      <c r="AF23" s="82">
        <f t="shared" si="14"/>
        <v>1356707189</v>
      </c>
      <c r="AG23" s="44">
        <f>IF(295004781=0,0,168833314/295004781)</f>
        <v>0.5723070433899171</v>
      </c>
      <c r="AH23" s="44">
        <f t="shared" si="15"/>
        <v>0.008549300168851692</v>
      </c>
      <c r="AI23" s="63">
        <f>SUM(AI18:AI22)</f>
        <v>5807075128</v>
      </c>
      <c r="AJ23" s="63">
        <f>SUM(AJ18:AJ22)</f>
        <v>5843495947</v>
      </c>
      <c r="AK23" s="63">
        <f>SUM(AK18:AK22)</f>
        <v>3850616504</v>
      </c>
      <c r="AL23" s="63"/>
    </row>
    <row r="24" spans="1:38" s="56" customFormat="1" ht="12.75">
      <c r="A24" s="61"/>
      <c r="B24" s="62" t="s">
        <v>256</v>
      </c>
      <c r="C24" s="32"/>
      <c r="D24" s="81">
        <f>SUM(D9:D11,D13:D16,D18:D22)</f>
        <v>111871460798</v>
      </c>
      <c r="E24" s="82">
        <f>SUM(E9:E11,E13:E16,E18:E22)</f>
        <v>19471356372</v>
      </c>
      <c r="F24" s="90">
        <f t="shared" si="0"/>
        <v>131342817170</v>
      </c>
      <c r="G24" s="81">
        <f>SUM(G9:G11,G13:G16,G18:G22)</f>
        <v>112780679204</v>
      </c>
      <c r="H24" s="82">
        <f>SUM(H9:H11,H13:H16,H18:H22)</f>
        <v>19244069538</v>
      </c>
      <c r="I24" s="83">
        <f t="shared" si="1"/>
        <v>132024748742</v>
      </c>
      <c r="J24" s="81">
        <f>SUM(J9:J11,J13:J16,J18:J22)</f>
        <v>29866323004</v>
      </c>
      <c r="K24" s="82">
        <f>SUM(K9:K11,K13:K16,K18:K22)</f>
        <v>1755904816</v>
      </c>
      <c r="L24" s="82">
        <f t="shared" si="2"/>
        <v>31622227820</v>
      </c>
      <c r="M24" s="44">
        <f t="shared" si="3"/>
        <v>0.24076099859401243</v>
      </c>
      <c r="N24" s="111">
        <f>SUM(N9:N11,N13:N16,N18:N22)</f>
        <v>27217902478</v>
      </c>
      <c r="O24" s="112">
        <f>SUM(O9:O11,O13:O16,O18:O22)</f>
        <v>4016448743</v>
      </c>
      <c r="P24" s="113">
        <f t="shared" si="4"/>
        <v>31234351221</v>
      </c>
      <c r="Q24" s="44">
        <f t="shared" si="5"/>
        <v>0.2378078367283128</v>
      </c>
      <c r="R24" s="111">
        <f>SUM(R9:R11,R13:R16,R18:R22)</f>
        <v>26378192752</v>
      </c>
      <c r="S24" s="113">
        <f>SUM(S9:S11,S13:S16,S18:S22)</f>
        <v>2800297269</v>
      </c>
      <c r="T24" s="113">
        <f t="shared" si="6"/>
        <v>29178490021</v>
      </c>
      <c r="U24" s="44">
        <f t="shared" si="7"/>
        <v>0.22100772998265647</v>
      </c>
      <c r="V24" s="111">
        <f>SUM(V9:V11,V13:V16,V18:V22)</f>
        <v>0</v>
      </c>
      <c r="W24" s="113">
        <f>SUM(W9:W11,W13:W16,W18:W22)</f>
        <v>0</v>
      </c>
      <c r="X24" s="113">
        <f t="shared" si="8"/>
        <v>0</v>
      </c>
      <c r="Y24" s="44">
        <f t="shared" si="9"/>
        <v>0</v>
      </c>
      <c r="Z24" s="81">
        <f t="shared" si="10"/>
        <v>83462418234</v>
      </c>
      <c r="AA24" s="82">
        <f t="shared" si="11"/>
        <v>8572650828</v>
      </c>
      <c r="AB24" s="82">
        <f t="shared" si="12"/>
        <v>92035069062</v>
      </c>
      <c r="AC24" s="44">
        <f t="shared" si="13"/>
        <v>0.697104671199587</v>
      </c>
      <c r="AD24" s="81">
        <f>SUM(AD9:AD11,AD13:AD16,AD18:AD22)</f>
        <v>25908357652</v>
      </c>
      <c r="AE24" s="82">
        <f>SUM(AE9:AE11,AE13:AE16,AE18:AE22)</f>
        <v>3213956700</v>
      </c>
      <c r="AF24" s="82">
        <f t="shared" si="14"/>
        <v>29122314352</v>
      </c>
      <c r="AG24" s="44">
        <f>IF(295004781=0,0,168833314/295004781)</f>
        <v>0.5723070433899171</v>
      </c>
      <c r="AH24" s="44">
        <f t="shared" si="15"/>
        <v>0.0019289562059185972</v>
      </c>
      <c r="AI24" s="63">
        <f>SUM(AI9:AI11,AI13:AI16,AI18:AI22)</f>
        <v>121633623334</v>
      </c>
      <c r="AJ24" s="63">
        <f>SUM(AJ9:AJ11,AJ13:AJ16,AJ18:AJ22)</f>
        <v>124296396949</v>
      </c>
      <c r="AK24" s="63">
        <f>SUM(AK9:AK11,AK13:AK16,AK18:AK22)</f>
        <v>85527725788</v>
      </c>
      <c r="AL24" s="63"/>
    </row>
    <row r="25" spans="1:38" s="13" customFormat="1" ht="12.75">
      <c r="A25" s="64"/>
      <c r="B25" s="65"/>
      <c r="C25" s="66"/>
      <c r="D25" s="93"/>
      <c r="E25" s="93"/>
      <c r="F25" s="94"/>
      <c r="G25" s="95"/>
      <c r="H25" s="93"/>
      <c r="I25" s="96"/>
      <c r="J25" s="95"/>
      <c r="K25" s="97"/>
      <c r="L25" s="93"/>
      <c r="M25" s="70"/>
      <c r="N25" s="95"/>
      <c r="O25" s="97"/>
      <c r="P25" s="93"/>
      <c r="Q25" s="70"/>
      <c r="R25" s="95"/>
      <c r="S25" s="97"/>
      <c r="T25" s="93"/>
      <c r="U25" s="70"/>
      <c r="V25" s="95"/>
      <c r="W25" s="97"/>
      <c r="X25" s="93"/>
      <c r="Y25" s="70"/>
      <c r="Z25" s="95"/>
      <c r="AA25" s="97"/>
      <c r="AB25" s="93"/>
      <c r="AC25" s="70"/>
      <c r="AD25" s="95"/>
      <c r="AE25" s="93"/>
      <c r="AF25" s="93"/>
      <c r="AG25" s="70"/>
      <c r="AH25" s="70"/>
      <c r="AI25" s="12"/>
      <c r="AJ25" s="12"/>
      <c r="AK25" s="12"/>
      <c r="AL25" s="12"/>
    </row>
    <row r="26" spans="1:38" s="13" customFormat="1" ht="12.75">
      <c r="A26" s="12"/>
      <c r="B26" s="57"/>
      <c r="C26" s="12"/>
      <c r="D26" s="88"/>
      <c r="E26" s="88"/>
      <c r="F26" s="88"/>
      <c r="G26" s="88"/>
      <c r="H26" s="88"/>
      <c r="I26" s="88"/>
      <c r="J26" s="88"/>
      <c r="K26" s="88"/>
      <c r="L26" s="88"/>
      <c r="M26" s="12"/>
      <c r="N26" s="88"/>
      <c r="O26" s="88"/>
      <c r="P26" s="88"/>
      <c r="Q26" s="12"/>
      <c r="R26" s="88"/>
      <c r="S26" s="88"/>
      <c r="T26" s="88"/>
      <c r="U26" s="12"/>
      <c r="V26" s="88"/>
      <c r="W26" s="88"/>
      <c r="X26" s="88"/>
      <c r="Y26" s="12"/>
      <c r="Z26" s="88"/>
      <c r="AA26" s="88"/>
      <c r="AB26" s="88"/>
      <c r="AC26" s="12"/>
      <c r="AD26" s="88"/>
      <c r="AE26" s="88"/>
      <c r="AF26" s="88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0" t="s">
        <v>46</v>
      </c>
      <c r="C9" s="39" t="s">
        <v>47</v>
      </c>
      <c r="D9" s="77">
        <v>29534285759</v>
      </c>
      <c r="E9" s="78">
        <v>6046925999</v>
      </c>
      <c r="F9" s="79">
        <f>$D9+$E9</f>
        <v>35581211758</v>
      </c>
      <c r="G9" s="77">
        <v>29540626561</v>
      </c>
      <c r="H9" s="78">
        <v>6038935000</v>
      </c>
      <c r="I9" s="80">
        <f>$G9+$H9</f>
        <v>35579561561</v>
      </c>
      <c r="J9" s="77">
        <v>7833937263</v>
      </c>
      <c r="K9" s="78">
        <v>823616000</v>
      </c>
      <c r="L9" s="78">
        <f>$J9+$K9</f>
        <v>8657553263</v>
      </c>
      <c r="M9" s="40">
        <f>IF($F9=0,0,$L9/$F9)</f>
        <v>0.24331811186990998</v>
      </c>
      <c r="N9" s="105">
        <v>7333185579</v>
      </c>
      <c r="O9" s="106">
        <v>1173076000</v>
      </c>
      <c r="P9" s="107">
        <f>$N9+$O9</f>
        <v>8506261579</v>
      </c>
      <c r="Q9" s="40">
        <f>IF($F9=0,0,$P9/$F9)</f>
        <v>0.2390661014260559</v>
      </c>
      <c r="R9" s="105">
        <v>5730463277</v>
      </c>
      <c r="S9" s="107">
        <v>1101745000</v>
      </c>
      <c r="T9" s="107">
        <f>$R9+$S9</f>
        <v>6832208277</v>
      </c>
      <c r="U9" s="40">
        <f>IF($I9=0,0,$T9/$I9)</f>
        <v>0.19202620766662348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20897586119</v>
      </c>
      <c r="AA9" s="78">
        <f>$K9+$O9+$S9</f>
        <v>3098437000</v>
      </c>
      <c r="AB9" s="78">
        <f>$Z9+$AA9</f>
        <v>23996023119</v>
      </c>
      <c r="AC9" s="40">
        <f>IF($I9=0,0,$AB9/$I9)</f>
        <v>0.6744327941720024</v>
      </c>
      <c r="AD9" s="77">
        <v>7289462222</v>
      </c>
      <c r="AE9" s="78">
        <v>1202070000</v>
      </c>
      <c r="AF9" s="78">
        <f>$AD9+$AE9</f>
        <v>8491532222</v>
      </c>
      <c r="AG9" s="40">
        <f>IF(32204316995=0,0,25417000415/32204316995)</f>
        <v>0.7892420267427566</v>
      </c>
      <c r="AH9" s="40">
        <f>IF($AF9=0,0,(($T9/$AF9)-1))</f>
        <v>-0.19540925025297518</v>
      </c>
      <c r="AI9" s="12">
        <v>32436397219</v>
      </c>
      <c r="AJ9" s="12">
        <v>32204316995</v>
      </c>
      <c r="AK9" s="12">
        <v>25417000415</v>
      </c>
      <c r="AL9" s="12"/>
    </row>
    <row r="10" spans="1:38" s="56" customFormat="1" ht="12.75">
      <c r="A10" s="61"/>
      <c r="B10" s="62" t="s">
        <v>95</v>
      </c>
      <c r="C10" s="32"/>
      <c r="D10" s="81">
        <f>D9</f>
        <v>29534285759</v>
      </c>
      <c r="E10" s="82">
        <f>E9</f>
        <v>6046925999</v>
      </c>
      <c r="F10" s="83">
        <f aca="true" t="shared" si="0" ref="F10:F41">$D10+$E10</f>
        <v>35581211758</v>
      </c>
      <c r="G10" s="81">
        <f>G9</f>
        <v>29540626561</v>
      </c>
      <c r="H10" s="82">
        <f>H9</f>
        <v>6038935000</v>
      </c>
      <c r="I10" s="83">
        <f aca="true" t="shared" si="1" ref="I10:I41">$G10+$H10</f>
        <v>35579561561</v>
      </c>
      <c r="J10" s="81">
        <f>J9</f>
        <v>7833937263</v>
      </c>
      <c r="K10" s="82">
        <f>K9</f>
        <v>823616000</v>
      </c>
      <c r="L10" s="82">
        <f aca="true" t="shared" si="2" ref="L10:L41">$J10+$K10</f>
        <v>8657553263</v>
      </c>
      <c r="M10" s="44">
        <f aca="true" t="shared" si="3" ref="M10:M41">IF($F10=0,0,$L10/$F10)</f>
        <v>0.24331811186990998</v>
      </c>
      <c r="N10" s="111">
        <f>N9</f>
        <v>7333185579</v>
      </c>
      <c r="O10" s="112">
        <f>O9</f>
        <v>1173076000</v>
      </c>
      <c r="P10" s="113">
        <f aca="true" t="shared" si="4" ref="P10:P41">$N10+$O10</f>
        <v>8506261579</v>
      </c>
      <c r="Q10" s="44">
        <f aca="true" t="shared" si="5" ref="Q10:Q41">IF($F10=0,0,$P10/$F10)</f>
        <v>0.2390661014260559</v>
      </c>
      <c r="R10" s="111">
        <f>R9</f>
        <v>5730463277</v>
      </c>
      <c r="S10" s="113">
        <f>S9</f>
        <v>1101745000</v>
      </c>
      <c r="T10" s="113">
        <f aca="true" t="shared" si="6" ref="T10:T41">$R10+$S10</f>
        <v>6832208277</v>
      </c>
      <c r="U10" s="44">
        <f aca="true" t="shared" si="7" ref="U10:U41">IF($I10=0,0,$T10/$I10)</f>
        <v>0.19202620766662348</v>
      </c>
      <c r="V10" s="111">
        <f>V9</f>
        <v>0</v>
      </c>
      <c r="W10" s="113">
        <f>W9</f>
        <v>0</v>
      </c>
      <c r="X10" s="113">
        <f aca="true" t="shared" si="8" ref="X10:X41">$V10+$W10</f>
        <v>0</v>
      </c>
      <c r="Y10" s="44">
        <f aca="true" t="shared" si="9" ref="Y10:Y41">IF($I10=0,0,$X10/$I10)</f>
        <v>0</v>
      </c>
      <c r="Z10" s="81">
        <f aca="true" t="shared" si="10" ref="Z10:Z41">$J10+$N10+$R10</f>
        <v>20897586119</v>
      </c>
      <c r="AA10" s="82">
        <f aca="true" t="shared" si="11" ref="AA10:AA41">$K10+$O10+$S10</f>
        <v>3098437000</v>
      </c>
      <c r="AB10" s="82">
        <f aca="true" t="shared" si="12" ref="AB10:AB41">$Z10+$AA10</f>
        <v>23996023119</v>
      </c>
      <c r="AC10" s="44">
        <f aca="true" t="shared" si="13" ref="AC10:AC41">IF($I10=0,0,$AB10/$I10)</f>
        <v>0.6744327941720024</v>
      </c>
      <c r="AD10" s="81">
        <f>AD9</f>
        <v>7289462222</v>
      </c>
      <c r="AE10" s="82">
        <f>AE9</f>
        <v>1202070000</v>
      </c>
      <c r="AF10" s="82">
        <f aca="true" t="shared" si="14" ref="AF10:AF41">$AD10+$AE10</f>
        <v>8491532222</v>
      </c>
      <c r="AG10" s="44">
        <f>IF(32204316995=0,0,25417000415/32204316995)</f>
        <v>0.7892420267427566</v>
      </c>
      <c r="AH10" s="44">
        <f aca="true" t="shared" si="15" ref="AH10:AH41">IF($AF10=0,0,(($T10/$AF10)-1))</f>
        <v>-0.19540925025297518</v>
      </c>
      <c r="AI10" s="63">
        <f>AI9</f>
        <v>32436397219</v>
      </c>
      <c r="AJ10" s="63">
        <f>AJ9</f>
        <v>32204316995</v>
      </c>
      <c r="AK10" s="63">
        <f>AK9</f>
        <v>25417000415</v>
      </c>
      <c r="AL10" s="63"/>
    </row>
    <row r="11" spans="1:38" s="13" customFormat="1" ht="12.75">
      <c r="A11" s="29" t="s">
        <v>96</v>
      </c>
      <c r="B11" s="60" t="s">
        <v>257</v>
      </c>
      <c r="C11" s="39" t="s">
        <v>258</v>
      </c>
      <c r="D11" s="77">
        <v>87983048</v>
      </c>
      <c r="E11" s="78">
        <v>39530100</v>
      </c>
      <c r="F11" s="79">
        <f t="shared" si="0"/>
        <v>127513148</v>
      </c>
      <c r="G11" s="77">
        <v>87983048</v>
      </c>
      <c r="H11" s="78">
        <v>39530100</v>
      </c>
      <c r="I11" s="80">
        <f t="shared" si="1"/>
        <v>127513148</v>
      </c>
      <c r="J11" s="77">
        <v>53831534</v>
      </c>
      <c r="K11" s="78">
        <v>2132793</v>
      </c>
      <c r="L11" s="78">
        <f t="shared" si="2"/>
        <v>55964327</v>
      </c>
      <c r="M11" s="40">
        <f t="shared" si="3"/>
        <v>0.43889063894807145</v>
      </c>
      <c r="N11" s="105">
        <v>20822828</v>
      </c>
      <c r="O11" s="106">
        <v>7290560</v>
      </c>
      <c r="P11" s="107">
        <f t="shared" si="4"/>
        <v>28113388</v>
      </c>
      <c r="Q11" s="40">
        <f t="shared" si="5"/>
        <v>0.22047442511575355</v>
      </c>
      <c r="R11" s="105">
        <v>0</v>
      </c>
      <c r="S11" s="107">
        <v>1381000</v>
      </c>
      <c r="T11" s="107">
        <f t="shared" si="6"/>
        <v>1381000</v>
      </c>
      <c r="U11" s="40">
        <f t="shared" si="7"/>
        <v>0.010830255716061532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74654362</v>
      </c>
      <c r="AA11" s="78">
        <f t="shared" si="11"/>
        <v>10804353</v>
      </c>
      <c r="AB11" s="78">
        <f t="shared" si="12"/>
        <v>85458715</v>
      </c>
      <c r="AC11" s="40">
        <f t="shared" si="13"/>
        <v>0.6701953197798866</v>
      </c>
      <c r="AD11" s="77">
        <v>16523699</v>
      </c>
      <c r="AE11" s="78">
        <v>2878914</v>
      </c>
      <c r="AF11" s="78">
        <f t="shared" si="14"/>
        <v>19402613</v>
      </c>
      <c r="AG11" s="40">
        <f>IF(98982771=0,0,63054296/98982771)</f>
        <v>0.6370229421037323</v>
      </c>
      <c r="AH11" s="40">
        <f t="shared" si="15"/>
        <v>-0.9288240197338369</v>
      </c>
      <c r="AI11" s="12">
        <v>81413667</v>
      </c>
      <c r="AJ11" s="12">
        <v>98982771</v>
      </c>
      <c r="AK11" s="12">
        <v>63054296</v>
      </c>
      <c r="AL11" s="12"/>
    </row>
    <row r="12" spans="1:38" s="13" customFormat="1" ht="12.75">
      <c r="A12" s="29" t="s">
        <v>96</v>
      </c>
      <c r="B12" s="60" t="s">
        <v>259</v>
      </c>
      <c r="C12" s="39" t="s">
        <v>260</v>
      </c>
      <c r="D12" s="77">
        <v>174836413</v>
      </c>
      <c r="E12" s="78">
        <v>57934200</v>
      </c>
      <c r="F12" s="79">
        <f t="shared" si="0"/>
        <v>232770613</v>
      </c>
      <c r="G12" s="77">
        <v>172287884</v>
      </c>
      <c r="H12" s="78">
        <v>63333854</v>
      </c>
      <c r="I12" s="80">
        <f t="shared" si="1"/>
        <v>235621738</v>
      </c>
      <c r="J12" s="77">
        <v>108252401</v>
      </c>
      <c r="K12" s="78">
        <v>12134342</v>
      </c>
      <c r="L12" s="78">
        <f t="shared" si="2"/>
        <v>120386743</v>
      </c>
      <c r="M12" s="40">
        <f t="shared" si="3"/>
        <v>0.5171904711184483</v>
      </c>
      <c r="N12" s="105">
        <v>25021591</v>
      </c>
      <c r="O12" s="106">
        <v>8700546</v>
      </c>
      <c r="P12" s="107">
        <f t="shared" si="4"/>
        <v>33722137</v>
      </c>
      <c r="Q12" s="40">
        <f t="shared" si="5"/>
        <v>0.14487282808332855</v>
      </c>
      <c r="R12" s="105">
        <v>19362702</v>
      </c>
      <c r="S12" s="107">
        <v>5083948</v>
      </c>
      <c r="T12" s="107">
        <f t="shared" si="6"/>
        <v>24446650</v>
      </c>
      <c r="U12" s="40">
        <f t="shared" si="7"/>
        <v>0.10375379711357532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152636694</v>
      </c>
      <c r="AA12" s="78">
        <f t="shared" si="11"/>
        <v>25918836</v>
      </c>
      <c r="AB12" s="78">
        <f t="shared" si="12"/>
        <v>178555530</v>
      </c>
      <c r="AC12" s="40">
        <f t="shared" si="13"/>
        <v>0.7578058438733696</v>
      </c>
      <c r="AD12" s="77">
        <v>15767783</v>
      </c>
      <c r="AE12" s="78">
        <v>10255845</v>
      </c>
      <c r="AF12" s="78">
        <f t="shared" si="14"/>
        <v>26023628</v>
      </c>
      <c r="AG12" s="40">
        <f>IF(189732432=0,0,146837298/189732432)</f>
        <v>0.7739177559269361</v>
      </c>
      <c r="AH12" s="40">
        <f t="shared" si="15"/>
        <v>-0.060597930465344785</v>
      </c>
      <c r="AI12" s="12">
        <v>184436740</v>
      </c>
      <c r="AJ12" s="12">
        <v>189732432</v>
      </c>
      <c r="AK12" s="12">
        <v>146837298</v>
      </c>
      <c r="AL12" s="12"/>
    </row>
    <row r="13" spans="1:38" s="13" customFormat="1" ht="12.75">
      <c r="A13" s="29" t="s">
        <v>96</v>
      </c>
      <c r="B13" s="60" t="s">
        <v>261</v>
      </c>
      <c r="C13" s="39" t="s">
        <v>262</v>
      </c>
      <c r="D13" s="77">
        <v>154896957</v>
      </c>
      <c r="E13" s="78">
        <v>57137000</v>
      </c>
      <c r="F13" s="79">
        <f t="shared" si="0"/>
        <v>212033957</v>
      </c>
      <c r="G13" s="77">
        <v>154896957</v>
      </c>
      <c r="H13" s="78">
        <v>76084312</v>
      </c>
      <c r="I13" s="80">
        <f t="shared" si="1"/>
        <v>230981269</v>
      </c>
      <c r="J13" s="77">
        <v>27359613</v>
      </c>
      <c r="K13" s="78">
        <v>26489234</v>
      </c>
      <c r="L13" s="78">
        <f t="shared" si="2"/>
        <v>53848847</v>
      </c>
      <c r="M13" s="40">
        <f t="shared" si="3"/>
        <v>0.2539633168285399</v>
      </c>
      <c r="N13" s="105">
        <v>44189608</v>
      </c>
      <c r="O13" s="106">
        <v>16309708</v>
      </c>
      <c r="P13" s="107">
        <f t="shared" si="4"/>
        <v>60499316</v>
      </c>
      <c r="Q13" s="40">
        <f t="shared" si="5"/>
        <v>0.28532842972882877</v>
      </c>
      <c r="R13" s="105">
        <v>40172161</v>
      </c>
      <c r="S13" s="107">
        <v>10612292</v>
      </c>
      <c r="T13" s="107">
        <f t="shared" si="6"/>
        <v>50784453</v>
      </c>
      <c r="U13" s="40">
        <f t="shared" si="7"/>
        <v>0.21986394489849304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111721382</v>
      </c>
      <c r="AA13" s="78">
        <f t="shared" si="11"/>
        <v>53411234</v>
      </c>
      <c r="AB13" s="78">
        <f t="shared" si="12"/>
        <v>165132616</v>
      </c>
      <c r="AC13" s="40">
        <f t="shared" si="13"/>
        <v>0.7149177797616135</v>
      </c>
      <c r="AD13" s="77">
        <v>25917819</v>
      </c>
      <c r="AE13" s="78">
        <v>10463997</v>
      </c>
      <c r="AF13" s="78">
        <f t="shared" si="14"/>
        <v>36381816</v>
      </c>
      <c r="AG13" s="40">
        <f>IF(160002115=0,0,122127846/160002115)</f>
        <v>0.7632889477742216</v>
      </c>
      <c r="AH13" s="40">
        <f t="shared" si="15"/>
        <v>0.395874603950501</v>
      </c>
      <c r="AI13" s="12">
        <v>183004326</v>
      </c>
      <c r="AJ13" s="12">
        <v>160002115</v>
      </c>
      <c r="AK13" s="12">
        <v>122127846</v>
      </c>
      <c r="AL13" s="12"/>
    </row>
    <row r="14" spans="1:38" s="13" customFormat="1" ht="12.75">
      <c r="A14" s="29" t="s">
        <v>96</v>
      </c>
      <c r="B14" s="60" t="s">
        <v>263</v>
      </c>
      <c r="C14" s="39" t="s">
        <v>264</v>
      </c>
      <c r="D14" s="77">
        <v>127771832</v>
      </c>
      <c r="E14" s="78">
        <v>29561346</v>
      </c>
      <c r="F14" s="79">
        <f t="shared" si="0"/>
        <v>157333178</v>
      </c>
      <c r="G14" s="77">
        <v>131335877</v>
      </c>
      <c r="H14" s="78">
        <v>36535076</v>
      </c>
      <c r="I14" s="80">
        <f t="shared" si="1"/>
        <v>167870953</v>
      </c>
      <c r="J14" s="77">
        <v>49726561</v>
      </c>
      <c r="K14" s="78">
        <v>3042320</v>
      </c>
      <c r="L14" s="78">
        <f t="shared" si="2"/>
        <v>52768881</v>
      </c>
      <c r="M14" s="40">
        <f t="shared" si="3"/>
        <v>0.33539576121700154</v>
      </c>
      <c r="N14" s="105">
        <v>35880926</v>
      </c>
      <c r="O14" s="106">
        <v>3115011</v>
      </c>
      <c r="P14" s="107">
        <f t="shared" si="4"/>
        <v>38995937</v>
      </c>
      <c r="Q14" s="40">
        <f t="shared" si="5"/>
        <v>0.24785577648472848</v>
      </c>
      <c r="R14" s="105">
        <v>30531803</v>
      </c>
      <c r="S14" s="107">
        <v>8647407</v>
      </c>
      <c r="T14" s="107">
        <f t="shared" si="6"/>
        <v>39179210</v>
      </c>
      <c r="U14" s="40">
        <f t="shared" si="7"/>
        <v>0.23338885792826827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116139290</v>
      </c>
      <c r="AA14" s="78">
        <f t="shared" si="11"/>
        <v>14804738</v>
      </c>
      <c r="AB14" s="78">
        <f t="shared" si="12"/>
        <v>130944028</v>
      </c>
      <c r="AC14" s="40">
        <f t="shared" si="13"/>
        <v>0.7800279063168242</v>
      </c>
      <c r="AD14" s="77">
        <v>15947411</v>
      </c>
      <c r="AE14" s="78">
        <v>2576406</v>
      </c>
      <c r="AF14" s="78">
        <f t="shared" si="14"/>
        <v>18523817</v>
      </c>
      <c r="AG14" s="40">
        <f>IF(164248892=0,0,111671475/164248892)</f>
        <v>0.6798918010357111</v>
      </c>
      <c r="AH14" s="40">
        <f t="shared" si="15"/>
        <v>1.1150721797780663</v>
      </c>
      <c r="AI14" s="12">
        <v>148523623</v>
      </c>
      <c r="AJ14" s="12">
        <v>164248892</v>
      </c>
      <c r="AK14" s="12">
        <v>111671475</v>
      </c>
      <c r="AL14" s="12"/>
    </row>
    <row r="15" spans="1:38" s="13" customFormat="1" ht="12.75">
      <c r="A15" s="29" t="s">
        <v>96</v>
      </c>
      <c r="B15" s="60" t="s">
        <v>265</v>
      </c>
      <c r="C15" s="39" t="s">
        <v>266</v>
      </c>
      <c r="D15" s="77">
        <v>55456513</v>
      </c>
      <c r="E15" s="78">
        <v>45150000</v>
      </c>
      <c r="F15" s="79">
        <f t="shared" si="0"/>
        <v>100606513</v>
      </c>
      <c r="G15" s="77">
        <v>55456513</v>
      </c>
      <c r="H15" s="78">
        <v>45150000</v>
      </c>
      <c r="I15" s="80">
        <f t="shared" si="1"/>
        <v>100606513</v>
      </c>
      <c r="J15" s="77">
        <v>20745427</v>
      </c>
      <c r="K15" s="78">
        <v>3085787</v>
      </c>
      <c r="L15" s="78">
        <f t="shared" si="2"/>
        <v>23831214</v>
      </c>
      <c r="M15" s="40">
        <f t="shared" si="3"/>
        <v>0.23687545954405556</v>
      </c>
      <c r="N15" s="105">
        <v>18429676</v>
      </c>
      <c r="O15" s="106">
        <v>17764605</v>
      </c>
      <c r="P15" s="107">
        <f t="shared" si="4"/>
        <v>36194281</v>
      </c>
      <c r="Q15" s="40">
        <f t="shared" si="5"/>
        <v>0.3597608138948221</v>
      </c>
      <c r="R15" s="105">
        <v>13228155</v>
      </c>
      <c r="S15" s="107">
        <v>10395727</v>
      </c>
      <c r="T15" s="107">
        <f t="shared" si="6"/>
        <v>23623882</v>
      </c>
      <c r="U15" s="40">
        <f t="shared" si="7"/>
        <v>0.23481463869043945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52403258</v>
      </c>
      <c r="AA15" s="78">
        <f t="shared" si="11"/>
        <v>31246119</v>
      </c>
      <c r="AB15" s="78">
        <f t="shared" si="12"/>
        <v>83649377</v>
      </c>
      <c r="AC15" s="40">
        <f t="shared" si="13"/>
        <v>0.8314509121293171</v>
      </c>
      <c r="AD15" s="77">
        <v>12058196</v>
      </c>
      <c r="AE15" s="78">
        <v>6261215</v>
      </c>
      <c r="AF15" s="78">
        <f t="shared" si="14"/>
        <v>18319411</v>
      </c>
      <c r="AG15" s="40">
        <f>IF(64698529=0,0,39058052/64698529)</f>
        <v>0.6036930453241062</v>
      </c>
      <c r="AH15" s="40">
        <f t="shared" si="15"/>
        <v>0.2895546696343021</v>
      </c>
      <c r="AI15" s="12">
        <v>60807000</v>
      </c>
      <c r="AJ15" s="12">
        <v>64698529</v>
      </c>
      <c r="AK15" s="12">
        <v>39058052</v>
      </c>
      <c r="AL15" s="12"/>
    </row>
    <row r="16" spans="1:38" s="13" customFormat="1" ht="12.75">
      <c r="A16" s="29" t="s">
        <v>96</v>
      </c>
      <c r="B16" s="60" t="s">
        <v>267</v>
      </c>
      <c r="C16" s="39" t="s">
        <v>268</v>
      </c>
      <c r="D16" s="77">
        <v>754860346</v>
      </c>
      <c r="E16" s="78">
        <v>163336260</v>
      </c>
      <c r="F16" s="79">
        <f t="shared" si="0"/>
        <v>918196606</v>
      </c>
      <c r="G16" s="77">
        <v>680253329</v>
      </c>
      <c r="H16" s="78">
        <v>163336260</v>
      </c>
      <c r="I16" s="80">
        <f t="shared" si="1"/>
        <v>843589589</v>
      </c>
      <c r="J16" s="77">
        <v>235244251</v>
      </c>
      <c r="K16" s="78">
        <v>15544335</v>
      </c>
      <c r="L16" s="78">
        <f t="shared" si="2"/>
        <v>250788586</v>
      </c>
      <c r="M16" s="40">
        <f t="shared" si="3"/>
        <v>0.273131684827857</v>
      </c>
      <c r="N16" s="105">
        <v>303084680</v>
      </c>
      <c r="O16" s="106">
        <v>40150932</v>
      </c>
      <c r="P16" s="107">
        <f t="shared" si="4"/>
        <v>343235612</v>
      </c>
      <c r="Q16" s="40">
        <f t="shared" si="5"/>
        <v>0.37381494307113566</v>
      </c>
      <c r="R16" s="105">
        <v>78403868</v>
      </c>
      <c r="S16" s="107">
        <v>15844453</v>
      </c>
      <c r="T16" s="107">
        <f t="shared" si="6"/>
        <v>94248321</v>
      </c>
      <c r="U16" s="40">
        <f t="shared" si="7"/>
        <v>0.11172295418169273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616732799</v>
      </c>
      <c r="AA16" s="78">
        <f t="shared" si="11"/>
        <v>71539720</v>
      </c>
      <c r="AB16" s="78">
        <f t="shared" si="12"/>
        <v>688272519</v>
      </c>
      <c r="AC16" s="40">
        <f t="shared" si="13"/>
        <v>0.8158855063821798</v>
      </c>
      <c r="AD16" s="77">
        <v>161560292</v>
      </c>
      <c r="AE16" s="78">
        <v>21321751</v>
      </c>
      <c r="AF16" s="78">
        <f t="shared" si="14"/>
        <v>182882043</v>
      </c>
      <c r="AG16" s="40">
        <f>IF(851832767=0,0,650155399/851832767)</f>
        <v>0.7632430028369641</v>
      </c>
      <c r="AH16" s="40">
        <f t="shared" si="15"/>
        <v>-0.48464967115442825</v>
      </c>
      <c r="AI16" s="12">
        <v>806059961</v>
      </c>
      <c r="AJ16" s="12">
        <v>851832767</v>
      </c>
      <c r="AK16" s="12">
        <v>650155399</v>
      </c>
      <c r="AL16" s="12"/>
    </row>
    <row r="17" spans="1:38" s="13" customFormat="1" ht="12.75">
      <c r="A17" s="29" t="s">
        <v>115</v>
      </c>
      <c r="B17" s="60" t="s">
        <v>269</v>
      </c>
      <c r="C17" s="39" t="s">
        <v>270</v>
      </c>
      <c r="D17" s="77">
        <v>807853604</v>
      </c>
      <c r="E17" s="78">
        <v>396652920</v>
      </c>
      <c r="F17" s="79">
        <f t="shared" si="0"/>
        <v>1204506524</v>
      </c>
      <c r="G17" s="77">
        <v>886502025</v>
      </c>
      <c r="H17" s="78">
        <v>416367218</v>
      </c>
      <c r="I17" s="80">
        <f t="shared" si="1"/>
        <v>1302869243</v>
      </c>
      <c r="J17" s="77">
        <v>246317537</v>
      </c>
      <c r="K17" s="78">
        <v>52774035</v>
      </c>
      <c r="L17" s="78">
        <f t="shared" si="2"/>
        <v>299091572</v>
      </c>
      <c r="M17" s="40">
        <f t="shared" si="3"/>
        <v>0.24831046245126026</v>
      </c>
      <c r="N17" s="105">
        <v>217588471</v>
      </c>
      <c r="O17" s="106">
        <v>93544598</v>
      </c>
      <c r="P17" s="107">
        <f t="shared" si="4"/>
        <v>311133069</v>
      </c>
      <c r="Q17" s="40">
        <f t="shared" si="5"/>
        <v>0.2583075000430633</v>
      </c>
      <c r="R17" s="105">
        <v>90173141</v>
      </c>
      <c r="S17" s="107">
        <v>45667150</v>
      </c>
      <c r="T17" s="107">
        <f t="shared" si="6"/>
        <v>135840291</v>
      </c>
      <c r="U17" s="40">
        <f t="shared" si="7"/>
        <v>0.10426241292427225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554079149</v>
      </c>
      <c r="AA17" s="78">
        <f t="shared" si="11"/>
        <v>191985783</v>
      </c>
      <c r="AB17" s="78">
        <f t="shared" si="12"/>
        <v>746064932</v>
      </c>
      <c r="AC17" s="40">
        <f t="shared" si="13"/>
        <v>0.5726322391970075</v>
      </c>
      <c r="AD17" s="77">
        <v>219486148</v>
      </c>
      <c r="AE17" s="78">
        <v>47671869</v>
      </c>
      <c r="AF17" s="78">
        <f t="shared" si="14"/>
        <v>267158017</v>
      </c>
      <c r="AG17" s="40">
        <f>IF(1176121108=0,0,853455760/1176121108)</f>
        <v>0.725652957161279</v>
      </c>
      <c r="AH17" s="40">
        <f t="shared" si="15"/>
        <v>-0.4915357864780079</v>
      </c>
      <c r="AI17" s="12">
        <v>1072982652</v>
      </c>
      <c r="AJ17" s="12">
        <v>1176121108</v>
      </c>
      <c r="AK17" s="12">
        <v>853455760</v>
      </c>
      <c r="AL17" s="12"/>
    </row>
    <row r="18" spans="1:38" s="56" customFormat="1" ht="12.75">
      <c r="A18" s="61"/>
      <c r="B18" s="62" t="s">
        <v>271</v>
      </c>
      <c r="C18" s="32"/>
      <c r="D18" s="81">
        <f>SUM(D11:D17)</f>
        <v>2163658713</v>
      </c>
      <c r="E18" s="82">
        <f>SUM(E11:E17)</f>
        <v>789301826</v>
      </c>
      <c r="F18" s="90">
        <f t="shared" si="0"/>
        <v>2952960539</v>
      </c>
      <c r="G18" s="81">
        <f>SUM(G11:G17)</f>
        <v>2168715633</v>
      </c>
      <c r="H18" s="82">
        <f>SUM(H11:H17)</f>
        <v>840336820</v>
      </c>
      <c r="I18" s="83">
        <f t="shared" si="1"/>
        <v>3009052453</v>
      </c>
      <c r="J18" s="81">
        <f>SUM(J11:J17)</f>
        <v>741477324</v>
      </c>
      <c r="K18" s="82">
        <f>SUM(K11:K17)</f>
        <v>115202846</v>
      </c>
      <c r="L18" s="82">
        <f t="shared" si="2"/>
        <v>856680170</v>
      </c>
      <c r="M18" s="44">
        <f t="shared" si="3"/>
        <v>0.2901089122884483</v>
      </c>
      <c r="N18" s="111">
        <f>SUM(N11:N17)</f>
        <v>665017780</v>
      </c>
      <c r="O18" s="112">
        <f>SUM(O11:O17)</f>
        <v>186875960</v>
      </c>
      <c r="P18" s="113">
        <f t="shared" si="4"/>
        <v>851893740</v>
      </c>
      <c r="Q18" s="44">
        <f t="shared" si="5"/>
        <v>0.2884880203270471</v>
      </c>
      <c r="R18" s="111">
        <f>SUM(R11:R17)</f>
        <v>271871830</v>
      </c>
      <c r="S18" s="113">
        <f>SUM(S11:S17)</f>
        <v>97631977</v>
      </c>
      <c r="T18" s="113">
        <f t="shared" si="6"/>
        <v>369503807</v>
      </c>
      <c r="U18" s="44">
        <f t="shared" si="7"/>
        <v>0.12279739644671459</v>
      </c>
      <c r="V18" s="111">
        <f>SUM(V11:V17)</f>
        <v>0</v>
      </c>
      <c r="W18" s="113">
        <f>SUM(W11:W17)</f>
        <v>0</v>
      </c>
      <c r="X18" s="113">
        <f t="shared" si="8"/>
        <v>0</v>
      </c>
      <c r="Y18" s="44">
        <f t="shared" si="9"/>
        <v>0</v>
      </c>
      <c r="Z18" s="81">
        <f t="shared" si="10"/>
        <v>1678366934</v>
      </c>
      <c r="AA18" s="82">
        <f t="shared" si="11"/>
        <v>399710783</v>
      </c>
      <c r="AB18" s="82">
        <f t="shared" si="12"/>
        <v>2078077717</v>
      </c>
      <c r="AC18" s="44">
        <f t="shared" si="13"/>
        <v>0.6906086714866582</v>
      </c>
      <c r="AD18" s="81">
        <f>SUM(AD11:AD17)</f>
        <v>467261348</v>
      </c>
      <c r="AE18" s="82">
        <f>SUM(AE11:AE17)</f>
        <v>101429997</v>
      </c>
      <c r="AF18" s="82">
        <f t="shared" si="14"/>
        <v>568691345</v>
      </c>
      <c r="AG18" s="44">
        <f>IF(1176121108=0,0,853455760/1176121108)</f>
        <v>0.725652957161279</v>
      </c>
      <c r="AH18" s="44">
        <f t="shared" si="15"/>
        <v>-0.350255968815562</v>
      </c>
      <c r="AI18" s="63">
        <f>SUM(AI11:AI17)</f>
        <v>2537227969</v>
      </c>
      <c r="AJ18" s="63">
        <f>SUM(AJ11:AJ17)</f>
        <v>2705618614</v>
      </c>
      <c r="AK18" s="63">
        <f>SUM(AK11:AK17)</f>
        <v>1986360126</v>
      </c>
      <c r="AL18" s="63"/>
    </row>
    <row r="19" spans="1:38" s="13" customFormat="1" ht="12.75">
      <c r="A19" s="29" t="s">
        <v>96</v>
      </c>
      <c r="B19" s="60" t="s">
        <v>272</v>
      </c>
      <c r="C19" s="39" t="s">
        <v>273</v>
      </c>
      <c r="D19" s="77">
        <v>145713000</v>
      </c>
      <c r="E19" s="78">
        <v>32264000</v>
      </c>
      <c r="F19" s="79">
        <f t="shared" si="0"/>
        <v>177977000</v>
      </c>
      <c r="G19" s="77">
        <v>151953000</v>
      </c>
      <c r="H19" s="78">
        <v>44096000</v>
      </c>
      <c r="I19" s="80">
        <f t="shared" si="1"/>
        <v>196049000</v>
      </c>
      <c r="J19" s="77">
        <v>50585297</v>
      </c>
      <c r="K19" s="78">
        <v>16247488</v>
      </c>
      <c r="L19" s="78">
        <f t="shared" si="2"/>
        <v>66832785</v>
      </c>
      <c r="M19" s="40">
        <f t="shared" si="3"/>
        <v>0.3755136056906229</v>
      </c>
      <c r="N19" s="105">
        <v>39060847</v>
      </c>
      <c r="O19" s="106">
        <v>13178172</v>
      </c>
      <c r="P19" s="107">
        <f t="shared" si="4"/>
        <v>52239019</v>
      </c>
      <c r="Q19" s="40">
        <f t="shared" si="5"/>
        <v>0.29351556099945497</v>
      </c>
      <c r="R19" s="105">
        <v>34658406</v>
      </c>
      <c r="S19" s="107">
        <v>6400684</v>
      </c>
      <c r="T19" s="107">
        <f t="shared" si="6"/>
        <v>41059090</v>
      </c>
      <c r="U19" s="40">
        <f t="shared" si="7"/>
        <v>0.20943279486250888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124304550</v>
      </c>
      <c r="AA19" s="78">
        <f t="shared" si="11"/>
        <v>35826344</v>
      </c>
      <c r="AB19" s="78">
        <f t="shared" si="12"/>
        <v>160130894</v>
      </c>
      <c r="AC19" s="40">
        <f t="shared" si="13"/>
        <v>0.8167901596029564</v>
      </c>
      <c r="AD19" s="77">
        <v>31536148</v>
      </c>
      <c r="AE19" s="78">
        <v>5292023</v>
      </c>
      <c r="AF19" s="78">
        <f t="shared" si="14"/>
        <v>36828171</v>
      </c>
      <c r="AG19" s="40">
        <f>IF(159849000=0,0,133131503/159849000)</f>
        <v>0.8328579033963303</v>
      </c>
      <c r="AH19" s="40">
        <f t="shared" si="15"/>
        <v>0.1148826804350398</v>
      </c>
      <c r="AI19" s="12">
        <v>141979000</v>
      </c>
      <c r="AJ19" s="12">
        <v>159849000</v>
      </c>
      <c r="AK19" s="12">
        <v>133131503</v>
      </c>
      <c r="AL19" s="12"/>
    </row>
    <row r="20" spans="1:38" s="13" customFormat="1" ht="12.75">
      <c r="A20" s="29" t="s">
        <v>96</v>
      </c>
      <c r="B20" s="60" t="s">
        <v>274</v>
      </c>
      <c r="C20" s="39" t="s">
        <v>275</v>
      </c>
      <c r="D20" s="77">
        <v>318207877</v>
      </c>
      <c r="E20" s="78">
        <v>27249000</v>
      </c>
      <c r="F20" s="80">
        <f t="shared" si="0"/>
        <v>345456877</v>
      </c>
      <c r="G20" s="77">
        <v>322717021</v>
      </c>
      <c r="H20" s="78">
        <v>44408681</v>
      </c>
      <c r="I20" s="80">
        <f t="shared" si="1"/>
        <v>367125702</v>
      </c>
      <c r="J20" s="77">
        <v>81410202</v>
      </c>
      <c r="K20" s="78">
        <v>1311655</v>
      </c>
      <c r="L20" s="78">
        <f t="shared" si="2"/>
        <v>82721857</v>
      </c>
      <c r="M20" s="40">
        <f t="shared" si="3"/>
        <v>0.23945639096366866</v>
      </c>
      <c r="N20" s="105">
        <v>73015249</v>
      </c>
      <c r="O20" s="106">
        <v>8946940</v>
      </c>
      <c r="P20" s="107">
        <f t="shared" si="4"/>
        <v>81962189</v>
      </c>
      <c r="Q20" s="40">
        <f t="shared" si="5"/>
        <v>0.23725736685797688</v>
      </c>
      <c r="R20" s="105">
        <v>84947831</v>
      </c>
      <c r="S20" s="107">
        <v>3225713</v>
      </c>
      <c r="T20" s="107">
        <f t="shared" si="6"/>
        <v>88173544</v>
      </c>
      <c r="U20" s="40">
        <f t="shared" si="7"/>
        <v>0.24017262621400448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239373282</v>
      </c>
      <c r="AA20" s="78">
        <f t="shared" si="11"/>
        <v>13484308</v>
      </c>
      <c r="AB20" s="78">
        <f t="shared" si="12"/>
        <v>252857590</v>
      </c>
      <c r="AC20" s="40">
        <f t="shared" si="13"/>
        <v>0.6887493537567686</v>
      </c>
      <c r="AD20" s="77">
        <v>61875811</v>
      </c>
      <c r="AE20" s="78">
        <v>9851540</v>
      </c>
      <c r="AF20" s="78">
        <f t="shared" si="14"/>
        <v>71727351</v>
      </c>
      <c r="AG20" s="40">
        <f>IF(354003550=0,0,229730669/354003550)</f>
        <v>0.6489501842566268</v>
      </c>
      <c r="AH20" s="40">
        <f t="shared" si="15"/>
        <v>0.2292876116392477</v>
      </c>
      <c r="AI20" s="12">
        <v>287141474</v>
      </c>
      <c r="AJ20" s="12">
        <v>354003550</v>
      </c>
      <c r="AK20" s="12">
        <v>229730669</v>
      </c>
      <c r="AL20" s="12"/>
    </row>
    <row r="21" spans="1:38" s="13" customFormat="1" ht="12.75">
      <c r="A21" s="29" t="s">
        <v>96</v>
      </c>
      <c r="B21" s="60" t="s">
        <v>276</v>
      </c>
      <c r="C21" s="39" t="s">
        <v>277</v>
      </c>
      <c r="D21" s="77">
        <v>120817912</v>
      </c>
      <c r="E21" s="78">
        <v>16595000</v>
      </c>
      <c r="F21" s="79">
        <f t="shared" si="0"/>
        <v>137412912</v>
      </c>
      <c r="G21" s="77">
        <v>126811000</v>
      </c>
      <c r="H21" s="78">
        <v>14650000</v>
      </c>
      <c r="I21" s="80">
        <f t="shared" si="1"/>
        <v>141461000</v>
      </c>
      <c r="J21" s="77">
        <v>32463784</v>
      </c>
      <c r="K21" s="78">
        <v>12116353</v>
      </c>
      <c r="L21" s="78">
        <f t="shared" si="2"/>
        <v>44580137</v>
      </c>
      <c r="M21" s="40">
        <f t="shared" si="3"/>
        <v>0.3244246581427515</v>
      </c>
      <c r="N21" s="105">
        <v>21644294</v>
      </c>
      <c r="O21" s="106">
        <v>0</v>
      </c>
      <c r="P21" s="107">
        <f t="shared" si="4"/>
        <v>21644294</v>
      </c>
      <c r="Q21" s="40">
        <f t="shared" si="5"/>
        <v>0.15751281073208026</v>
      </c>
      <c r="R21" s="105">
        <v>25572870</v>
      </c>
      <c r="S21" s="107">
        <v>0</v>
      </c>
      <c r="T21" s="107">
        <f t="shared" si="6"/>
        <v>25572870</v>
      </c>
      <c r="U21" s="40">
        <f t="shared" si="7"/>
        <v>0.18077682188023556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79680948</v>
      </c>
      <c r="AA21" s="78">
        <f t="shared" si="11"/>
        <v>12116353</v>
      </c>
      <c r="AB21" s="78">
        <f t="shared" si="12"/>
        <v>91797301</v>
      </c>
      <c r="AC21" s="40">
        <f t="shared" si="13"/>
        <v>0.6489230317896806</v>
      </c>
      <c r="AD21" s="77">
        <v>23147807</v>
      </c>
      <c r="AE21" s="78">
        <v>7311584</v>
      </c>
      <c r="AF21" s="78">
        <f t="shared" si="14"/>
        <v>30459391</v>
      </c>
      <c r="AG21" s="40">
        <f>IF(130581600=0,0,71378748/130581600)</f>
        <v>0.5466217905125991</v>
      </c>
      <c r="AH21" s="40">
        <f t="shared" si="15"/>
        <v>-0.16042740316114656</v>
      </c>
      <c r="AI21" s="12">
        <v>128192366</v>
      </c>
      <c r="AJ21" s="12">
        <v>130581600</v>
      </c>
      <c r="AK21" s="12">
        <v>71378748</v>
      </c>
      <c r="AL21" s="12"/>
    </row>
    <row r="22" spans="1:38" s="13" customFormat="1" ht="12.75">
      <c r="A22" s="29" t="s">
        <v>96</v>
      </c>
      <c r="B22" s="60" t="s">
        <v>278</v>
      </c>
      <c r="C22" s="39" t="s">
        <v>279</v>
      </c>
      <c r="D22" s="77">
        <v>60410201</v>
      </c>
      <c r="E22" s="78">
        <v>13353100</v>
      </c>
      <c r="F22" s="79">
        <f t="shared" si="0"/>
        <v>73763301</v>
      </c>
      <c r="G22" s="77">
        <v>50802608</v>
      </c>
      <c r="H22" s="78">
        <v>13353100</v>
      </c>
      <c r="I22" s="80">
        <f t="shared" si="1"/>
        <v>64155708</v>
      </c>
      <c r="J22" s="77">
        <v>18256184</v>
      </c>
      <c r="K22" s="78">
        <v>1072976</v>
      </c>
      <c r="L22" s="78">
        <f t="shared" si="2"/>
        <v>19329160</v>
      </c>
      <c r="M22" s="40">
        <f t="shared" si="3"/>
        <v>0.26204304495537695</v>
      </c>
      <c r="N22" s="105">
        <v>14221551</v>
      </c>
      <c r="O22" s="106">
        <v>13736</v>
      </c>
      <c r="P22" s="107">
        <f t="shared" si="4"/>
        <v>14235287</v>
      </c>
      <c r="Q22" s="40">
        <f t="shared" si="5"/>
        <v>0.19298603515588328</v>
      </c>
      <c r="R22" s="105">
        <v>13711607</v>
      </c>
      <c r="S22" s="107">
        <v>2522434</v>
      </c>
      <c r="T22" s="107">
        <f t="shared" si="6"/>
        <v>16234041</v>
      </c>
      <c r="U22" s="40">
        <f t="shared" si="7"/>
        <v>0.2530412570616476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46189342</v>
      </c>
      <c r="AA22" s="78">
        <f t="shared" si="11"/>
        <v>3609146</v>
      </c>
      <c r="AB22" s="78">
        <f t="shared" si="12"/>
        <v>49798488</v>
      </c>
      <c r="AC22" s="40">
        <f t="shared" si="13"/>
        <v>0.7762128975336068</v>
      </c>
      <c r="AD22" s="77">
        <v>10903664</v>
      </c>
      <c r="AE22" s="78">
        <v>586599</v>
      </c>
      <c r="AF22" s="78">
        <f t="shared" si="14"/>
        <v>11490263</v>
      </c>
      <c r="AG22" s="40">
        <f>IF(62290490=0,0,63656477/62290490)</f>
        <v>1.0219293025307716</v>
      </c>
      <c r="AH22" s="40">
        <f t="shared" si="15"/>
        <v>0.4128519947715732</v>
      </c>
      <c r="AI22" s="12">
        <v>56223183</v>
      </c>
      <c r="AJ22" s="12">
        <v>62290490</v>
      </c>
      <c r="AK22" s="12">
        <v>63656477</v>
      </c>
      <c r="AL22" s="12"/>
    </row>
    <row r="23" spans="1:38" s="13" customFormat="1" ht="12.75">
      <c r="A23" s="29" t="s">
        <v>96</v>
      </c>
      <c r="B23" s="60" t="s">
        <v>76</v>
      </c>
      <c r="C23" s="39" t="s">
        <v>77</v>
      </c>
      <c r="D23" s="77">
        <v>4036592433</v>
      </c>
      <c r="E23" s="78">
        <v>709060000</v>
      </c>
      <c r="F23" s="79">
        <f t="shared" si="0"/>
        <v>4745652433</v>
      </c>
      <c r="G23" s="77">
        <v>4253162800</v>
      </c>
      <c r="H23" s="78">
        <v>710287627</v>
      </c>
      <c r="I23" s="80">
        <f t="shared" si="1"/>
        <v>4963450427</v>
      </c>
      <c r="J23" s="77">
        <v>1102341857</v>
      </c>
      <c r="K23" s="78">
        <v>72582551</v>
      </c>
      <c r="L23" s="78">
        <f t="shared" si="2"/>
        <v>1174924408</v>
      </c>
      <c r="M23" s="40">
        <f t="shared" si="3"/>
        <v>0.2475791104780218</v>
      </c>
      <c r="N23" s="105">
        <v>976026641</v>
      </c>
      <c r="O23" s="106">
        <v>148969630</v>
      </c>
      <c r="P23" s="107">
        <f t="shared" si="4"/>
        <v>1124996271</v>
      </c>
      <c r="Q23" s="40">
        <f t="shared" si="5"/>
        <v>0.23705829427732134</v>
      </c>
      <c r="R23" s="105">
        <v>983520255</v>
      </c>
      <c r="S23" s="107">
        <v>80232143</v>
      </c>
      <c r="T23" s="107">
        <f t="shared" si="6"/>
        <v>1063752398</v>
      </c>
      <c r="U23" s="40">
        <f t="shared" si="7"/>
        <v>0.21431711944042753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3061888753</v>
      </c>
      <c r="AA23" s="78">
        <f t="shared" si="11"/>
        <v>301784324</v>
      </c>
      <c r="AB23" s="78">
        <f t="shared" si="12"/>
        <v>3363673077</v>
      </c>
      <c r="AC23" s="40">
        <f t="shared" si="13"/>
        <v>0.6776884601692427</v>
      </c>
      <c r="AD23" s="77">
        <v>803512092</v>
      </c>
      <c r="AE23" s="78">
        <v>173440535</v>
      </c>
      <c r="AF23" s="78">
        <f t="shared" si="14"/>
        <v>976952627</v>
      </c>
      <c r="AG23" s="40">
        <f>IF(4400108643=0,0,3066760143/4400108643)</f>
        <v>0.6969737322006392</v>
      </c>
      <c r="AH23" s="40">
        <f t="shared" si="15"/>
        <v>0.08884747182321662</v>
      </c>
      <c r="AI23" s="12">
        <v>4168088170</v>
      </c>
      <c r="AJ23" s="12">
        <v>4400108643</v>
      </c>
      <c r="AK23" s="12">
        <v>3066760143</v>
      </c>
      <c r="AL23" s="12"/>
    </row>
    <row r="24" spans="1:38" s="13" customFormat="1" ht="12.75">
      <c r="A24" s="29" t="s">
        <v>96</v>
      </c>
      <c r="B24" s="60" t="s">
        <v>280</v>
      </c>
      <c r="C24" s="39" t="s">
        <v>281</v>
      </c>
      <c r="D24" s="77">
        <v>84697427</v>
      </c>
      <c r="E24" s="78">
        <v>19301000</v>
      </c>
      <c r="F24" s="79">
        <f t="shared" si="0"/>
        <v>103998427</v>
      </c>
      <c r="G24" s="77">
        <v>78358348</v>
      </c>
      <c r="H24" s="78">
        <v>19301000</v>
      </c>
      <c r="I24" s="80">
        <f t="shared" si="1"/>
        <v>97659348</v>
      </c>
      <c r="J24" s="77">
        <v>26822140</v>
      </c>
      <c r="K24" s="78">
        <v>2266670</v>
      </c>
      <c r="L24" s="78">
        <f t="shared" si="2"/>
        <v>29088810</v>
      </c>
      <c r="M24" s="40">
        <f t="shared" si="3"/>
        <v>0.27970432668178724</v>
      </c>
      <c r="N24" s="105">
        <v>22804393</v>
      </c>
      <c r="O24" s="106">
        <v>4315029</v>
      </c>
      <c r="P24" s="107">
        <f t="shared" si="4"/>
        <v>27119422</v>
      </c>
      <c r="Q24" s="40">
        <f t="shared" si="5"/>
        <v>0.26076761718713304</v>
      </c>
      <c r="R24" s="105">
        <v>20292721</v>
      </c>
      <c r="S24" s="107">
        <v>4240894</v>
      </c>
      <c r="T24" s="107">
        <f t="shared" si="6"/>
        <v>24533615</v>
      </c>
      <c r="U24" s="40">
        <f t="shared" si="7"/>
        <v>0.2512162481363279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69919254</v>
      </c>
      <c r="AA24" s="78">
        <f t="shared" si="11"/>
        <v>10822593</v>
      </c>
      <c r="AB24" s="78">
        <f t="shared" si="12"/>
        <v>80741847</v>
      </c>
      <c r="AC24" s="40">
        <f t="shared" si="13"/>
        <v>0.8267702852163216</v>
      </c>
      <c r="AD24" s="77">
        <v>16627942</v>
      </c>
      <c r="AE24" s="78">
        <v>2043100</v>
      </c>
      <c r="AF24" s="78">
        <f t="shared" si="14"/>
        <v>18671042</v>
      </c>
      <c r="AG24" s="40">
        <f>IF(86237701=0,0,65159055/86237701)</f>
        <v>0.7555750471594784</v>
      </c>
      <c r="AH24" s="40">
        <f t="shared" si="15"/>
        <v>0.31399281304171445</v>
      </c>
      <c r="AI24" s="12">
        <v>90737703</v>
      </c>
      <c r="AJ24" s="12">
        <v>86237701</v>
      </c>
      <c r="AK24" s="12">
        <v>65159055</v>
      </c>
      <c r="AL24" s="12"/>
    </row>
    <row r="25" spans="1:38" s="13" customFormat="1" ht="12.75">
      <c r="A25" s="29" t="s">
        <v>96</v>
      </c>
      <c r="B25" s="60" t="s">
        <v>282</v>
      </c>
      <c r="C25" s="39" t="s">
        <v>283</v>
      </c>
      <c r="D25" s="77">
        <v>88329130</v>
      </c>
      <c r="E25" s="78">
        <v>25850400</v>
      </c>
      <c r="F25" s="79">
        <f t="shared" si="0"/>
        <v>114179530</v>
      </c>
      <c r="G25" s="77">
        <v>96799833</v>
      </c>
      <c r="H25" s="78">
        <v>47645818</v>
      </c>
      <c r="I25" s="80">
        <f t="shared" si="1"/>
        <v>144445651</v>
      </c>
      <c r="J25" s="77">
        <v>35657416</v>
      </c>
      <c r="K25" s="78">
        <v>7697273</v>
      </c>
      <c r="L25" s="78">
        <f t="shared" si="2"/>
        <v>43354689</v>
      </c>
      <c r="M25" s="40">
        <f t="shared" si="3"/>
        <v>0.37970631863697457</v>
      </c>
      <c r="N25" s="105">
        <v>32337460</v>
      </c>
      <c r="O25" s="106">
        <v>13310651</v>
      </c>
      <c r="P25" s="107">
        <f t="shared" si="4"/>
        <v>45648111</v>
      </c>
      <c r="Q25" s="40">
        <f t="shared" si="5"/>
        <v>0.39979242338797505</v>
      </c>
      <c r="R25" s="105">
        <v>22008631</v>
      </c>
      <c r="S25" s="107">
        <v>2126004</v>
      </c>
      <c r="T25" s="107">
        <f t="shared" si="6"/>
        <v>24134635</v>
      </c>
      <c r="U25" s="40">
        <f t="shared" si="7"/>
        <v>0.16708453894537814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90003507</v>
      </c>
      <c r="AA25" s="78">
        <f t="shared" si="11"/>
        <v>23133928</v>
      </c>
      <c r="AB25" s="78">
        <f t="shared" si="12"/>
        <v>113137435</v>
      </c>
      <c r="AC25" s="40">
        <f t="shared" si="13"/>
        <v>0.7832526228152068</v>
      </c>
      <c r="AD25" s="77">
        <v>15502689</v>
      </c>
      <c r="AE25" s="78">
        <v>3188800</v>
      </c>
      <c r="AF25" s="78">
        <f t="shared" si="14"/>
        <v>18691489</v>
      </c>
      <c r="AG25" s="40">
        <f>IF(115684352=0,0,80502636/115684352)</f>
        <v>0.6958818077660149</v>
      </c>
      <c r="AH25" s="40">
        <f t="shared" si="15"/>
        <v>0.2912098656238675</v>
      </c>
      <c r="AI25" s="12">
        <v>83952830</v>
      </c>
      <c r="AJ25" s="12">
        <v>115684352</v>
      </c>
      <c r="AK25" s="12">
        <v>80502636</v>
      </c>
      <c r="AL25" s="12"/>
    </row>
    <row r="26" spans="1:38" s="13" customFormat="1" ht="12.75">
      <c r="A26" s="29" t="s">
        <v>115</v>
      </c>
      <c r="B26" s="60" t="s">
        <v>284</v>
      </c>
      <c r="C26" s="39" t="s">
        <v>285</v>
      </c>
      <c r="D26" s="77">
        <v>579000580</v>
      </c>
      <c r="E26" s="78">
        <v>260496000</v>
      </c>
      <c r="F26" s="79">
        <f t="shared" si="0"/>
        <v>839496580</v>
      </c>
      <c r="G26" s="77">
        <v>639942580</v>
      </c>
      <c r="H26" s="78">
        <v>277045000</v>
      </c>
      <c r="I26" s="80">
        <f t="shared" si="1"/>
        <v>916987580</v>
      </c>
      <c r="J26" s="77">
        <v>221968420</v>
      </c>
      <c r="K26" s="78">
        <v>175123996</v>
      </c>
      <c r="L26" s="78">
        <f t="shared" si="2"/>
        <v>397092416</v>
      </c>
      <c r="M26" s="40">
        <f t="shared" si="3"/>
        <v>0.47301254759131955</v>
      </c>
      <c r="N26" s="105">
        <v>189408932</v>
      </c>
      <c r="O26" s="106">
        <v>48781918</v>
      </c>
      <c r="P26" s="107">
        <f t="shared" si="4"/>
        <v>238190850</v>
      </c>
      <c r="Q26" s="40">
        <f t="shared" si="5"/>
        <v>0.28373057815196817</v>
      </c>
      <c r="R26" s="105">
        <v>156461962</v>
      </c>
      <c r="S26" s="107">
        <v>29194815</v>
      </c>
      <c r="T26" s="107">
        <f t="shared" si="6"/>
        <v>185656777</v>
      </c>
      <c r="U26" s="40">
        <f t="shared" si="7"/>
        <v>0.2024637858235768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567839314</v>
      </c>
      <c r="AA26" s="78">
        <f t="shared" si="11"/>
        <v>253100729</v>
      </c>
      <c r="AB26" s="78">
        <f t="shared" si="12"/>
        <v>820940043</v>
      </c>
      <c r="AC26" s="40">
        <f t="shared" si="13"/>
        <v>0.8952575377302275</v>
      </c>
      <c r="AD26" s="77">
        <v>140001181</v>
      </c>
      <c r="AE26" s="78">
        <v>64151198</v>
      </c>
      <c r="AF26" s="78">
        <f t="shared" si="14"/>
        <v>204152379</v>
      </c>
      <c r="AG26" s="40">
        <f>IF(790641000=0,0,738278602/790641000)</f>
        <v>0.9337722202617876</v>
      </c>
      <c r="AH26" s="40">
        <f t="shared" si="15"/>
        <v>-0.0905970436915653</v>
      </c>
      <c r="AI26" s="12">
        <v>794586992</v>
      </c>
      <c r="AJ26" s="12">
        <v>790641000</v>
      </c>
      <c r="AK26" s="12">
        <v>738278602</v>
      </c>
      <c r="AL26" s="12"/>
    </row>
    <row r="27" spans="1:38" s="56" customFormat="1" ht="12.75">
      <c r="A27" s="61"/>
      <c r="B27" s="62" t="s">
        <v>286</v>
      </c>
      <c r="C27" s="32"/>
      <c r="D27" s="81">
        <f>SUM(D19:D26)</f>
        <v>5433768560</v>
      </c>
      <c r="E27" s="82">
        <f>SUM(E19:E26)</f>
        <v>1104168500</v>
      </c>
      <c r="F27" s="90">
        <f t="shared" si="0"/>
        <v>6537937060</v>
      </c>
      <c r="G27" s="81">
        <f>SUM(G19:G26)</f>
        <v>5720547190</v>
      </c>
      <c r="H27" s="82">
        <f>SUM(H19:H26)</f>
        <v>1170787226</v>
      </c>
      <c r="I27" s="83">
        <f t="shared" si="1"/>
        <v>6891334416</v>
      </c>
      <c r="J27" s="81">
        <f>SUM(J19:J26)</f>
        <v>1569505300</v>
      </c>
      <c r="K27" s="82">
        <f>SUM(K19:K26)</f>
        <v>288418962</v>
      </c>
      <c r="L27" s="82">
        <f t="shared" si="2"/>
        <v>1857924262</v>
      </c>
      <c r="M27" s="44">
        <f t="shared" si="3"/>
        <v>0.284175917410866</v>
      </c>
      <c r="N27" s="111">
        <f>SUM(N19:N26)</f>
        <v>1368519367</v>
      </c>
      <c r="O27" s="112">
        <f>SUM(O19:O26)</f>
        <v>237516076</v>
      </c>
      <c r="P27" s="113">
        <f t="shared" si="4"/>
        <v>1606035443</v>
      </c>
      <c r="Q27" s="44">
        <f t="shared" si="5"/>
        <v>0.24564865465376629</v>
      </c>
      <c r="R27" s="111">
        <f>SUM(R19:R26)</f>
        <v>1341174283</v>
      </c>
      <c r="S27" s="113">
        <f>SUM(S19:S26)</f>
        <v>127942687</v>
      </c>
      <c r="T27" s="113">
        <f t="shared" si="6"/>
        <v>1469116970</v>
      </c>
      <c r="U27" s="44">
        <f t="shared" si="7"/>
        <v>0.21318323583152027</v>
      </c>
      <c r="V27" s="111">
        <f>SUM(V19:V26)</f>
        <v>0</v>
      </c>
      <c r="W27" s="113">
        <f>SUM(W19:W26)</f>
        <v>0</v>
      </c>
      <c r="X27" s="113">
        <f t="shared" si="8"/>
        <v>0</v>
      </c>
      <c r="Y27" s="44">
        <f t="shared" si="9"/>
        <v>0</v>
      </c>
      <c r="Z27" s="81">
        <f t="shared" si="10"/>
        <v>4279198950</v>
      </c>
      <c r="AA27" s="82">
        <f t="shared" si="11"/>
        <v>653877725</v>
      </c>
      <c r="AB27" s="82">
        <f t="shared" si="12"/>
        <v>4933076675</v>
      </c>
      <c r="AC27" s="44">
        <f t="shared" si="13"/>
        <v>0.7158376559910657</v>
      </c>
      <c r="AD27" s="81">
        <f>SUM(AD19:AD26)</f>
        <v>1103107334</v>
      </c>
      <c r="AE27" s="82">
        <f>SUM(AE19:AE26)</f>
        <v>265865379</v>
      </c>
      <c r="AF27" s="82">
        <f t="shared" si="14"/>
        <v>1368972713</v>
      </c>
      <c r="AG27" s="44">
        <f>IF(790641000=0,0,738278602/790641000)</f>
        <v>0.9337722202617876</v>
      </c>
      <c r="AH27" s="44">
        <f t="shared" si="15"/>
        <v>0.07315285107512581</v>
      </c>
      <c r="AI27" s="63">
        <f>SUM(AI19:AI26)</f>
        <v>5750901718</v>
      </c>
      <c r="AJ27" s="63">
        <f>SUM(AJ19:AJ26)</f>
        <v>6099396336</v>
      </c>
      <c r="AK27" s="63">
        <f>SUM(AK19:AK26)</f>
        <v>4448597833</v>
      </c>
      <c r="AL27" s="63"/>
    </row>
    <row r="28" spans="1:38" s="13" customFormat="1" ht="12.75">
      <c r="A28" s="29" t="s">
        <v>96</v>
      </c>
      <c r="B28" s="60" t="s">
        <v>287</v>
      </c>
      <c r="C28" s="39" t="s">
        <v>288</v>
      </c>
      <c r="D28" s="77">
        <v>634257196</v>
      </c>
      <c r="E28" s="78">
        <v>168275000</v>
      </c>
      <c r="F28" s="79">
        <f t="shared" si="0"/>
        <v>802532196</v>
      </c>
      <c r="G28" s="77">
        <v>605782763</v>
      </c>
      <c r="H28" s="78">
        <v>197367598</v>
      </c>
      <c r="I28" s="80">
        <f t="shared" si="1"/>
        <v>803150361</v>
      </c>
      <c r="J28" s="77">
        <v>156727931</v>
      </c>
      <c r="K28" s="78">
        <v>10384229</v>
      </c>
      <c r="L28" s="78">
        <f t="shared" si="2"/>
        <v>167112160</v>
      </c>
      <c r="M28" s="40">
        <f t="shared" si="3"/>
        <v>0.20823109755960495</v>
      </c>
      <c r="N28" s="105">
        <v>163769035</v>
      </c>
      <c r="O28" s="106">
        <v>17910187</v>
      </c>
      <c r="P28" s="107">
        <f t="shared" si="4"/>
        <v>181679222</v>
      </c>
      <c r="Q28" s="40">
        <f t="shared" si="5"/>
        <v>0.22638247151395283</v>
      </c>
      <c r="R28" s="105">
        <v>159990932</v>
      </c>
      <c r="S28" s="107">
        <v>25961632</v>
      </c>
      <c r="T28" s="107">
        <f t="shared" si="6"/>
        <v>185952564</v>
      </c>
      <c r="U28" s="40">
        <f t="shared" si="7"/>
        <v>0.2315289552612179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480487898</v>
      </c>
      <c r="AA28" s="78">
        <f t="shared" si="11"/>
        <v>54256048</v>
      </c>
      <c r="AB28" s="78">
        <f t="shared" si="12"/>
        <v>534743946</v>
      </c>
      <c r="AC28" s="40">
        <f t="shared" si="13"/>
        <v>0.6658080130029351</v>
      </c>
      <c r="AD28" s="77">
        <v>135461463</v>
      </c>
      <c r="AE28" s="78">
        <v>18317313</v>
      </c>
      <c r="AF28" s="78">
        <f t="shared" si="14"/>
        <v>153778776</v>
      </c>
      <c r="AG28" s="40">
        <f>IF(744522684=0,0,506717985/744522684)</f>
        <v>0.6805944209484959</v>
      </c>
      <c r="AH28" s="40">
        <f t="shared" si="15"/>
        <v>0.2092212517025107</v>
      </c>
      <c r="AI28" s="12">
        <v>725721138</v>
      </c>
      <c r="AJ28" s="12">
        <v>744522684</v>
      </c>
      <c r="AK28" s="12">
        <v>506717985</v>
      </c>
      <c r="AL28" s="12"/>
    </row>
    <row r="29" spans="1:38" s="13" customFormat="1" ht="12.75">
      <c r="A29" s="29" t="s">
        <v>96</v>
      </c>
      <c r="B29" s="60" t="s">
        <v>289</v>
      </c>
      <c r="C29" s="39" t="s">
        <v>290</v>
      </c>
      <c r="D29" s="77">
        <v>90508036</v>
      </c>
      <c r="E29" s="78">
        <v>60201000</v>
      </c>
      <c r="F29" s="79">
        <f t="shared" si="0"/>
        <v>150709036</v>
      </c>
      <c r="G29" s="77">
        <v>91767798</v>
      </c>
      <c r="H29" s="78">
        <v>60877000</v>
      </c>
      <c r="I29" s="80">
        <f t="shared" si="1"/>
        <v>152644798</v>
      </c>
      <c r="J29" s="77">
        <v>37198727</v>
      </c>
      <c r="K29" s="78">
        <v>0</v>
      </c>
      <c r="L29" s="78">
        <f t="shared" si="2"/>
        <v>37198727</v>
      </c>
      <c r="M29" s="40">
        <f t="shared" si="3"/>
        <v>0.24682479556169412</v>
      </c>
      <c r="N29" s="105">
        <v>25484387</v>
      </c>
      <c r="O29" s="106">
        <v>1403603</v>
      </c>
      <c r="P29" s="107">
        <f t="shared" si="4"/>
        <v>26887990</v>
      </c>
      <c r="Q29" s="40">
        <f t="shared" si="5"/>
        <v>0.1784099395340834</v>
      </c>
      <c r="R29" s="105">
        <v>26819199</v>
      </c>
      <c r="S29" s="107">
        <v>42646670</v>
      </c>
      <c r="T29" s="107">
        <f t="shared" si="6"/>
        <v>69465869</v>
      </c>
      <c r="U29" s="40">
        <f t="shared" si="7"/>
        <v>0.45508179715367697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89502313</v>
      </c>
      <c r="AA29" s="78">
        <f t="shared" si="11"/>
        <v>44050273</v>
      </c>
      <c r="AB29" s="78">
        <f t="shared" si="12"/>
        <v>133552586</v>
      </c>
      <c r="AC29" s="40">
        <f t="shared" si="13"/>
        <v>0.8749239263299362</v>
      </c>
      <c r="AD29" s="77">
        <v>43373349</v>
      </c>
      <c r="AE29" s="78">
        <v>6324209</v>
      </c>
      <c r="AF29" s="78">
        <f t="shared" si="14"/>
        <v>49697558</v>
      </c>
      <c r="AG29" s="40">
        <f>IF(133682788=0,0,99635063/133682788)</f>
        <v>0.7453095831603991</v>
      </c>
      <c r="AH29" s="40">
        <f t="shared" si="15"/>
        <v>0.39777228088349936</v>
      </c>
      <c r="AI29" s="12">
        <v>121763992</v>
      </c>
      <c r="AJ29" s="12">
        <v>133682788</v>
      </c>
      <c r="AK29" s="12">
        <v>99635063</v>
      </c>
      <c r="AL29" s="12"/>
    </row>
    <row r="30" spans="1:38" s="13" customFormat="1" ht="12.75">
      <c r="A30" s="29" t="s">
        <v>96</v>
      </c>
      <c r="B30" s="60" t="s">
        <v>291</v>
      </c>
      <c r="C30" s="39" t="s">
        <v>292</v>
      </c>
      <c r="D30" s="77">
        <v>348955990</v>
      </c>
      <c r="E30" s="78">
        <v>34935000</v>
      </c>
      <c r="F30" s="80">
        <f t="shared" si="0"/>
        <v>383890990</v>
      </c>
      <c r="G30" s="77">
        <v>346244769</v>
      </c>
      <c r="H30" s="78">
        <v>14525100</v>
      </c>
      <c r="I30" s="80">
        <f t="shared" si="1"/>
        <v>360769869</v>
      </c>
      <c r="J30" s="77">
        <v>98774461</v>
      </c>
      <c r="K30" s="78">
        <v>5775743</v>
      </c>
      <c r="L30" s="78">
        <f t="shared" si="2"/>
        <v>104550204</v>
      </c>
      <c r="M30" s="40">
        <f t="shared" si="3"/>
        <v>0.2723434691707664</v>
      </c>
      <c r="N30" s="105">
        <v>87226193</v>
      </c>
      <c r="O30" s="106">
        <v>8308988</v>
      </c>
      <c r="P30" s="107">
        <f t="shared" si="4"/>
        <v>95535181</v>
      </c>
      <c r="Q30" s="40">
        <f t="shared" si="5"/>
        <v>0.24886018033400575</v>
      </c>
      <c r="R30" s="105">
        <v>80134020</v>
      </c>
      <c r="S30" s="107">
        <v>5718891</v>
      </c>
      <c r="T30" s="107">
        <f t="shared" si="6"/>
        <v>85852911</v>
      </c>
      <c r="U30" s="40">
        <f t="shared" si="7"/>
        <v>0.237971400543985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266134674</v>
      </c>
      <c r="AA30" s="78">
        <f t="shared" si="11"/>
        <v>19803622</v>
      </c>
      <c r="AB30" s="78">
        <f t="shared" si="12"/>
        <v>285938296</v>
      </c>
      <c r="AC30" s="40">
        <f t="shared" si="13"/>
        <v>0.7925780963709028</v>
      </c>
      <c r="AD30" s="77">
        <v>76152132</v>
      </c>
      <c r="AE30" s="78">
        <v>15286269</v>
      </c>
      <c r="AF30" s="78">
        <f t="shared" si="14"/>
        <v>91438401</v>
      </c>
      <c r="AG30" s="40">
        <f>IF(362443483=0,0,277651358/362443483)</f>
        <v>0.7660542154099098</v>
      </c>
      <c r="AH30" s="40">
        <f t="shared" si="15"/>
        <v>-0.0610847295984539</v>
      </c>
      <c r="AI30" s="12">
        <v>351920109</v>
      </c>
      <c r="AJ30" s="12">
        <v>362443483</v>
      </c>
      <c r="AK30" s="12">
        <v>277651358</v>
      </c>
      <c r="AL30" s="12"/>
    </row>
    <row r="31" spans="1:38" s="13" customFormat="1" ht="12.75">
      <c r="A31" s="29" t="s">
        <v>96</v>
      </c>
      <c r="B31" s="60" t="s">
        <v>293</v>
      </c>
      <c r="C31" s="39" t="s">
        <v>294</v>
      </c>
      <c r="D31" s="77">
        <v>140176988</v>
      </c>
      <c r="E31" s="78">
        <v>81062302</v>
      </c>
      <c r="F31" s="79">
        <f t="shared" si="0"/>
        <v>221239290</v>
      </c>
      <c r="G31" s="77">
        <v>144425213</v>
      </c>
      <c r="H31" s="78">
        <v>116975061</v>
      </c>
      <c r="I31" s="80">
        <f t="shared" si="1"/>
        <v>261400274</v>
      </c>
      <c r="J31" s="77">
        <v>53077735</v>
      </c>
      <c r="K31" s="78">
        <v>22618868</v>
      </c>
      <c r="L31" s="78">
        <f t="shared" si="2"/>
        <v>75696603</v>
      </c>
      <c r="M31" s="40">
        <f t="shared" si="3"/>
        <v>0.3421481012708005</v>
      </c>
      <c r="N31" s="105">
        <v>50367288</v>
      </c>
      <c r="O31" s="106">
        <v>23782132</v>
      </c>
      <c r="P31" s="107">
        <f t="shared" si="4"/>
        <v>74149420</v>
      </c>
      <c r="Q31" s="40">
        <f t="shared" si="5"/>
        <v>0.3351548452356722</v>
      </c>
      <c r="R31" s="105">
        <v>34828244</v>
      </c>
      <c r="S31" s="107">
        <v>18434147</v>
      </c>
      <c r="T31" s="107">
        <f t="shared" si="6"/>
        <v>53262391</v>
      </c>
      <c r="U31" s="40">
        <f t="shared" si="7"/>
        <v>0.20375797693310757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138273267</v>
      </c>
      <c r="AA31" s="78">
        <f t="shared" si="11"/>
        <v>64835147</v>
      </c>
      <c r="AB31" s="78">
        <f t="shared" si="12"/>
        <v>203108414</v>
      </c>
      <c r="AC31" s="40">
        <f t="shared" si="13"/>
        <v>0.777001534436035</v>
      </c>
      <c r="AD31" s="77">
        <v>34244706</v>
      </c>
      <c r="AE31" s="78">
        <v>14652098</v>
      </c>
      <c r="AF31" s="78">
        <f t="shared" si="14"/>
        <v>48896804</v>
      </c>
      <c r="AG31" s="40">
        <f>IF(208530974=0,0,167724828/208530974)</f>
        <v>0.8043161396253776</v>
      </c>
      <c r="AH31" s="40">
        <f t="shared" si="15"/>
        <v>0.08928164302926622</v>
      </c>
      <c r="AI31" s="12">
        <v>182126512</v>
      </c>
      <c r="AJ31" s="12">
        <v>208530974</v>
      </c>
      <c r="AK31" s="12">
        <v>167724828</v>
      </c>
      <c r="AL31" s="12"/>
    </row>
    <row r="32" spans="1:38" s="13" customFormat="1" ht="12.75">
      <c r="A32" s="29" t="s">
        <v>96</v>
      </c>
      <c r="B32" s="60" t="s">
        <v>295</v>
      </c>
      <c r="C32" s="39" t="s">
        <v>296</v>
      </c>
      <c r="D32" s="77">
        <v>123907784</v>
      </c>
      <c r="E32" s="78">
        <v>28349594</v>
      </c>
      <c r="F32" s="79">
        <f t="shared" si="0"/>
        <v>152257378</v>
      </c>
      <c r="G32" s="77">
        <v>108969944</v>
      </c>
      <c r="H32" s="78">
        <v>28349594</v>
      </c>
      <c r="I32" s="80">
        <f t="shared" si="1"/>
        <v>137319538</v>
      </c>
      <c r="J32" s="77">
        <v>64375716</v>
      </c>
      <c r="K32" s="78">
        <v>8790889</v>
      </c>
      <c r="L32" s="78">
        <f t="shared" si="2"/>
        <v>73166605</v>
      </c>
      <c r="M32" s="40">
        <f t="shared" si="3"/>
        <v>0.48054554702761265</v>
      </c>
      <c r="N32" s="105">
        <v>22367815</v>
      </c>
      <c r="O32" s="106">
        <v>9752661</v>
      </c>
      <c r="P32" s="107">
        <f t="shared" si="4"/>
        <v>32120476</v>
      </c>
      <c r="Q32" s="40">
        <f t="shared" si="5"/>
        <v>0.2109617045947028</v>
      </c>
      <c r="R32" s="105">
        <v>2536863</v>
      </c>
      <c r="S32" s="107">
        <v>4271674</v>
      </c>
      <c r="T32" s="107">
        <f t="shared" si="6"/>
        <v>6808537</v>
      </c>
      <c r="U32" s="40">
        <f t="shared" si="7"/>
        <v>0.04958170628275781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89280394</v>
      </c>
      <c r="AA32" s="78">
        <f t="shared" si="11"/>
        <v>22815224</v>
      </c>
      <c r="AB32" s="78">
        <f t="shared" si="12"/>
        <v>112095618</v>
      </c>
      <c r="AC32" s="40">
        <f t="shared" si="13"/>
        <v>0.8163122279074373</v>
      </c>
      <c r="AD32" s="77">
        <v>23382371</v>
      </c>
      <c r="AE32" s="78">
        <v>4928384</v>
      </c>
      <c r="AF32" s="78">
        <f t="shared" si="14"/>
        <v>28310755</v>
      </c>
      <c r="AG32" s="40">
        <f>IF(120003018=0,0,105659459/120003018)</f>
        <v>0.8804733477619705</v>
      </c>
      <c r="AH32" s="40">
        <f t="shared" si="15"/>
        <v>-0.7595070495294103</v>
      </c>
      <c r="AI32" s="12">
        <v>117800455</v>
      </c>
      <c r="AJ32" s="12">
        <v>120003018</v>
      </c>
      <c r="AK32" s="12">
        <v>105659459</v>
      </c>
      <c r="AL32" s="12"/>
    </row>
    <row r="33" spans="1:38" s="13" customFormat="1" ht="12.75">
      <c r="A33" s="29" t="s">
        <v>115</v>
      </c>
      <c r="B33" s="60" t="s">
        <v>297</v>
      </c>
      <c r="C33" s="39" t="s">
        <v>298</v>
      </c>
      <c r="D33" s="77">
        <v>518412209</v>
      </c>
      <c r="E33" s="78">
        <v>319070000</v>
      </c>
      <c r="F33" s="79">
        <f t="shared" si="0"/>
        <v>837482209</v>
      </c>
      <c r="G33" s="77">
        <v>516669697</v>
      </c>
      <c r="H33" s="78">
        <v>260903278</v>
      </c>
      <c r="I33" s="80">
        <f t="shared" si="1"/>
        <v>777572975</v>
      </c>
      <c r="J33" s="77">
        <v>180289414</v>
      </c>
      <c r="K33" s="78">
        <v>25207229</v>
      </c>
      <c r="L33" s="78">
        <f t="shared" si="2"/>
        <v>205496643</v>
      </c>
      <c r="M33" s="40">
        <f t="shared" si="3"/>
        <v>0.24537433845355872</v>
      </c>
      <c r="N33" s="105">
        <v>206748467</v>
      </c>
      <c r="O33" s="106">
        <v>51581183</v>
      </c>
      <c r="P33" s="107">
        <f t="shared" si="4"/>
        <v>258329650</v>
      </c>
      <c r="Q33" s="40">
        <f t="shared" si="5"/>
        <v>0.30845986604116626</v>
      </c>
      <c r="R33" s="105">
        <v>48904476</v>
      </c>
      <c r="S33" s="107">
        <v>20902000</v>
      </c>
      <c r="T33" s="107">
        <f t="shared" si="6"/>
        <v>69806476</v>
      </c>
      <c r="U33" s="40">
        <f t="shared" si="7"/>
        <v>0.08977482274252137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435942357</v>
      </c>
      <c r="AA33" s="78">
        <f t="shared" si="11"/>
        <v>97690412</v>
      </c>
      <c r="AB33" s="78">
        <f t="shared" si="12"/>
        <v>533632769</v>
      </c>
      <c r="AC33" s="40">
        <f t="shared" si="13"/>
        <v>0.6862799842034119</v>
      </c>
      <c r="AD33" s="77">
        <v>35902988</v>
      </c>
      <c r="AE33" s="78">
        <v>57310000</v>
      </c>
      <c r="AF33" s="78">
        <f t="shared" si="14"/>
        <v>93212988</v>
      </c>
      <c r="AG33" s="40">
        <f>IF(863395512=0,0,549394302/863395512)</f>
        <v>0.63631822770003</v>
      </c>
      <c r="AH33" s="40">
        <f t="shared" si="15"/>
        <v>-0.251107839177948</v>
      </c>
      <c r="AI33" s="12">
        <v>782311529</v>
      </c>
      <c r="AJ33" s="12">
        <v>863395512</v>
      </c>
      <c r="AK33" s="12">
        <v>549394302</v>
      </c>
      <c r="AL33" s="12"/>
    </row>
    <row r="34" spans="1:38" s="56" customFormat="1" ht="12.75">
      <c r="A34" s="61"/>
      <c r="B34" s="62" t="s">
        <v>299</v>
      </c>
      <c r="C34" s="32"/>
      <c r="D34" s="81">
        <f>SUM(D28:D33)</f>
        <v>1856218203</v>
      </c>
      <c r="E34" s="82">
        <f>SUM(E28:E33)</f>
        <v>691892896</v>
      </c>
      <c r="F34" s="90">
        <f t="shared" si="0"/>
        <v>2548111099</v>
      </c>
      <c r="G34" s="81">
        <f>SUM(G28:G33)</f>
        <v>1813860184</v>
      </c>
      <c r="H34" s="82">
        <f>SUM(H28:H33)</f>
        <v>678997631</v>
      </c>
      <c r="I34" s="83">
        <f t="shared" si="1"/>
        <v>2492857815</v>
      </c>
      <c r="J34" s="81">
        <f>SUM(J28:J33)</f>
        <v>590443984</v>
      </c>
      <c r="K34" s="82">
        <f>SUM(K28:K33)</f>
        <v>72776958</v>
      </c>
      <c r="L34" s="82">
        <f t="shared" si="2"/>
        <v>663220942</v>
      </c>
      <c r="M34" s="44">
        <f t="shared" si="3"/>
        <v>0.2602794447464553</v>
      </c>
      <c r="N34" s="111">
        <f>SUM(N28:N33)</f>
        <v>555963185</v>
      </c>
      <c r="O34" s="112">
        <f>SUM(O28:O33)</f>
        <v>112738754</v>
      </c>
      <c r="P34" s="113">
        <f t="shared" si="4"/>
        <v>668701939</v>
      </c>
      <c r="Q34" s="44">
        <f t="shared" si="5"/>
        <v>0.2624304486811546</v>
      </c>
      <c r="R34" s="111">
        <f>SUM(R28:R33)</f>
        <v>353213734</v>
      </c>
      <c r="S34" s="113">
        <f>SUM(S28:S33)</f>
        <v>117935014</v>
      </c>
      <c r="T34" s="113">
        <f t="shared" si="6"/>
        <v>471148748</v>
      </c>
      <c r="U34" s="44">
        <f t="shared" si="7"/>
        <v>0.18899944680559327</v>
      </c>
      <c r="V34" s="111">
        <f>SUM(V28:V33)</f>
        <v>0</v>
      </c>
      <c r="W34" s="113">
        <f>SUM(W28:W33)</f>
        <v>0</v>
      </c>
      <c r="X34" s="113">
        <f t="shared" si="8"/>
        <v>0</v>
      </c>
      <c r="Y34" s="44">
        <f t="shared" si="9"/>
        <v>0</v>
      </c>
      <c r="Z34" s="81">
        <f t="shared" si="10"/>
        <v>1499620903</v>
      </c>
      <c r="AA34" s="82">
        <f t="shared" si="11"/>
        <v>303450726</v>
      </c>
      <c r="AB34" s="82">
        <f t="shared" si="12"/>
        <v>1803071629</v>
      </c>
      <c r="AC34" s="44">
        <f t="shared" si="13"/>
        <v>0.7232950143207425</v>
      </c>
      <c r="AD34" s="81">
        <f>SUM(AD28:AD33)</f>
        <v>348517009</v>
      </c>
      <c r="AE34" s="82">
        <f>SUM(AE28:AE33)</f>
        <v>116818273</v>
      </c>
      <c r="AF34" s="82">
        <f t="shared" si="14"/>
        <v>465335282</v>
      </c>
      <c r="AG34" s="44">
        <f>IF(863395512=0,0,549394302/863395512)</f>
        <v>0.63631822770003</v>
      </c>
      <c r="AH34" s="44">
        <f t="shared" si="15"/>
        <v>0.012493069459538653</v>
      </c>
      <c r="AI34" s="63">
        <f>SUM(AI28:AI33)</f>
        <v>2281643735</v>
      </c>
      <c r="AJ34" s="63">
        <f>SUM(AJ28:AJ33)</f>
        <v>2432578459</v>
      </c>
      <c r="AK34" s="63">
        <f>SUM(AK28:AK33)</f>
        <v>1706782995</v>
      </c>
      <c r="AL34" s="63"/>
    </row>
    <row r="35" spans="1:38" s="13" customFormat="1" ht="12.75">
      <c r="A35" s="29" t="s">
        <v>96</v>
      </c>
      <c r="B35" s="60" t="s">
        <v>300</v>
      </c>
      <c r="C35" s="39" t="s">
        <v>301</v>
      </c>
      <c r="D35" s="77">
        <v>250324409</v>
      </c>
      <c r="E35" s="78">
        <v>45843900</v>
      </c>
      <c r="F35" s="79">
        <f t="shared" si="0"/>
        <v>296168309</v>
      </c>
      <c r="G35" s="77">
        <v>261280760</v>
      </c>
      <c r="H35" s="78">
        <v>48769940</v>
      </c>
      <c r="I35" s="80">
        <f t="shared" si="1"/>
        <v>310050700</v>
      </c>
      <c r="J35" s="77">
        <v>79133482</v>
      </c>
      <c r="K35" s="78">
        <v>3598968</v>
      </c>
      <c r="L35" s="78">
        <f t="shared" si="2"/>
        <v>82732450</v>
      </c>
      <c r="M35" s="40">
        <f t="shared" si="3"/>
        <v>0.27934268281215735</v>
      </c>
      <c r="N35" s="105">
        <v>61489762</v>
      </c>
      <c r="O35" s="106">
        <v>3342315</v>
      </c>
      <c r="P35" s="107">
        <f t="shared" si="4"/>
        <v>64832077</v>
      </c>
      <c r="Q35" s="40">
        <f t="shared" si="5"/>
        <v>0.21890281650627244</v>
      </c>
      <c r="R35" s="105">
        <v>55318386</v>
      </c>
      <c r="S35" s="107">
        <v>4606557</v>
      </c>
      <c r="T35" s="107">
        <f t="shared" si="6"/>
        <v>59924943</v>
      </c>
      <c r="U35" s="40">
        <f t="shared" si="7"/>
        <v>0.19327465798335564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195941630</v>
      </c>
      <c r="AA35" s="78">
        <f t="shared" si="11"/>
        <v>11547840</v>
      </c>
      <c r="AB35" s="78">
        <f t="shared" si="12"/>
        <v>207489470</v>
      </c>
      <c r="AC35" s="40">
        <f t="shared" si="13"/>
        <v>0.6692114225189623</v>
      </c>
      <c r="AD35" s="77">
        <v>52799248</v>
      </c>
      <c r="AE35" s="78">
        <v>4475340</v>
      </c>
      <c r="AF35" s="78">
        <f t="shared" si="14"/>
        <v>57274588</v>
      </c>
      <c r="AG35" s="40">
        <f>IF(273207386=0,0,192929258/273207386)</f>
        <v>0.7061641371584295</v>
      </c>
      <c r="AH35" s="40">
        <f t="shared" si="15"/>
        <v>0.04627453627427225</v>
      </c>
      <c r="AI35" s="12">
        <v>268582187</v>
      </c>
      <c r="AJ35" s="12">
        <v>273207386</v>
      </c>
      <c r="AK35" s="12">
        <v>192929258</v>
      </c>
      <c r="AL35" s="12"/>
    </row>
    <row r="36" spans="1:38" s="13" customFormat="1" ht="12.75">
      <c r="A36" s="29" t="s">
        <v>96</v>
      </c>
      <c r="B36" s="60" t="s">
        <v>302</v>
      </c>
      <c r="C36" s="39" t="s">
        <v>303</v>
      </c>
      <c r="D36" s="77">
        <v>160337680</v>
      </c>
      <c r="E36" s="78">
        <v>115392000</v>
      </c>
      <c r="F36" s="79">
        <f t="shared" si="0"/>
        <v>275729680</v>
      </c>
      <c r="G36" s="77">
        <v>172878378</v>
      </c>
      <c r="H36" s="78">
        <v>141025705</v>
      </c>
      <c r="I36" s="80">
        <f t="shared" si="1"/>
        <v>313904083</v>
      </c>
      <c r="J36" s="77">
        <v>75298124</v>
      </c>
      <c r="K36" s="78">
        <v>30995807</v>
      </c>
      <c r="L36" s="78">
        <f t="shared" si="2"/>
        <v>106293931</v>
      </c>
      <c r="M36" s="40">
        <f t="shared" si="3"/>
        <v>0.3855005054225573</v>
      </c>
      <c r="N36" s="105">
        <v>46294740</v>
      </c>
      <c r="O36" s="106">
        <v>21880959</v>
      </c>
      <c r="P36" s="107">
        <f t="shared" si="4"/>
        <v>68175699</v>
      </c>
      <c r="Q36" s="40">
        <f t="shared" si="5"/>
        <v>0.2472555692952605</v>
      </c>
      <c r="R36" s="105">
        <v>39999709</v>
      </c>
      <c r="S36" s="107">
        <v>36797650</v>
      </c>
      <c r="T36" s="107">
        <f t="shared" si="6"/>
        <v>76797359</v>
      </c>
      <c r="U36" s="40">
        <f t="shared" si="7"/>
        <v>0.24465230992232745</v>
      </c>
      <c r="V36" s="105">
        <v>0</v>
      </c>
      <c r="W36" s="107">
        <v>0</v>
      </c>
      <c r="X36" s="107">
        <f t="shared" si="8"/>
        <v>0</v>
      </c>
      <c r="Y36" s="40">
        <f t="shared" si="9"/>
        <v>0</v>
      </c>
      <c r="Z36" s="77">
        <f t="shared" si="10"/>
        <v>161592573</v>
      </c>
      <c r="AA36" s="78">
        <f t="shared" si="11"/>
        <v>89674416</v>
      </c>
      <c r="AB36" s="78">
        <f t="shared" si="12"/>
        <v>251266989</v>
      </c>
      <c r="AC36" s="40">
        <f t="shared" si="13"/>
        <v>0.8004578551467901</v>
      </c>
      <c r="AD36" s="77">
        <v>32676596</v>
      </c>
      <c r="AE36" s="78">
        <v>7899047</v>
      </c>
      <c r="AF36" s="78">
        <f t="shared" si="14"/>
        <v>40575643</v>
      </c>
      <c r="AG36" s="40">
        <f>IF(220581612=0,0,122300903/220581612)</f>
        <v>0.5544474078827568</v>
      </c>
      <c r="AH36" s="40">
        <f t="shared" si="15"/>
        <v>0.8926960442746403</v>
      </c>
      <c r="AI36" s="12">
        <v>216511765</v>
      </c>
      <c r="AJ36" s="12">
        <v>220581612</v>
      </c>
      <c r="AK36" s="12">
        <v>122300903</v>
      </c>
      <c r="AL36" s="12"/>
    </row>
    <row r="37" spans="1:38" s="13" customFormat="1" ht="12.75">
      <c r="A37" s="29" t="s">
        <v>96</v>
      </c>
      <c r="B37" s="60" t="s">
        <v>304</v>
      </c>
      <c r="C37" s="39" t="s">
        <v>305</v>
      </c>
      <c r="D37" s="77">
        <v>177064136</v>
      </c>
      <c r="E37" s="78">
        <v>58048000</v>
      </c>
      <c r="F37" s="79">
        <f t="shared" si="0"/>
        <v>235112136</v>
      </c>
      <c r="G37" s="77">
        <v>177064136</v>
      </c>
      <c r="H37" s="78">
        <v>58048000</v>
      </c>
      <c r="I37" s="80">
        <f t="shared" si="1"/>
        <v>235112136</v>
      </c>
      <c r="J37" s="77">
        <v>3102861</v>
      </c>
      <c r="K37" s="78">
        <v>7522648</v>
      </c>
      <c r="L37" s="78">
        <f t="shared" si="2"/>
        <v>10625509</v>
      </c>
      <c r="M37" s="40">
        <f t="shared" si="3"/>
        <v>0.045193366794132654</v>
      </c>
      <c r="N37" s="105">
        <v>3102861</v>
      </c>
      <c r="O37" s="106">
        <v>16384452</v>
      </c>
      <c r="P37" s="107">
        <f t="shared" si="4"/>
        <v>19487313</v>
      </c>
      <c r="Q37" s="40">
        <f t="shared" si="5"/>
        <v>0.08288518547592116</v>
      </c>
      <c r="R37" s="105">
        <v>3102861</v>
      </c>
      <c r="S37" s="107">
        <v>234615</v>
      </c>
      <c r="T37" s="107">
        <f t="shared" si="6"/>
        <v>3337476</v>
      </c>
      <c r="U37" s="40">
        <f t="shared" si="7"/>
        <v>0.014195251920130571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9308583</v>
      </c>
      <c r="AA37" s="78">
        <f t="shared" si="11"/>
        <v>24141715</v>
      </c>
      <c r="AB37" s="78">
        <f t="shared" si="12"/>
        <v>33450298</v>
      </c>
      <c r="AC37" s="40">
        <f t="shared" si="13"/>
        <v>0.14227380419018437</v>
      </c>
      <c r="AD37" s="77">
        <v>3108096</v>
      </c>
      <c r="AE37" s="78">
        <v>22154109</v>
      </c>
      <c r="AF37" s="78">
        <f t="shared" si="14"/>
        <v>25262205</v>
      </c>
      <c r="AG37" s="40">
        <f>IF(173304941=0,0,89960076/173304941)</f>
        <v>0.5190854656590547</v>
      </c>
      <c r="AH37" s="40">
        <f t="shared" si="15"/>
        <v>-0.8678865918473863</v>
      </c>
      <c r="AI37" s="12">
        <v>171058941</v>
      </c>
      <c r="AJ37" s="12">
        <v>173304941</v>
      </c>
      <c r="AK37" s="12">
        <v>89960076</v>
      </c>
      <c r="AL37" s="12"/>
    </row>
    <row r="38" spans="1:38" s="13" customFormat="1" ht="12.75">
      <c r="A38" s="29" t="s">
        <v>96</v>
      </c>
      <c r="B38" s="60" t="s">
        <v>306</v>
      </c>
      <c r="C38" s="39" t="s">
        <v>307</v>
      </c>
      <c r="D38" s="77">
        <v>204843000</v>
      </c>
      <c r="E38" s="78">
        <v>105731000</v>
      </c>
      <c r="F38" s="79">
        <f t="shared" si="0"/>
        <v>310574000</v>
      </c>
      <c r="G38" s="77">
        <v>309624055</v>
      </c>
      <c r="H38" s="78">
        <v>84545000</v>
      </c>
      <c r="I38" s="80">
        <f t="shared" si="1"/>
        <v>394169055</v>
      </c>
      <c r="J38" s="77">
        <v>80082371</v>
      </c>
      <c r="K38" s="78">
        <v>24617425</v>
      </c>
      <c r="L38" s="78">
        <f t="shared" si="2"/>
        <v>104699796</v>
      </c>
      <c r="M38" s="40">
        <f t="shared" si="3"/>
        <v>0.33711706710800005</v>
      </c>
      <c r="N38" s="105">
        <v>93496451</v>
      </c>
      <c r="O38" s="106">
        <v>17428453</v>
      </c>
      <c r="P38" s="107">
        <f t="shared" si="4"/>
        <v>110924904</v>
      </c>
      <c r="Q38" s="40">
        <f t="shared" si="5"/>
        <v>0.3571609471494716</v>
      </c>
      <c r="R38" s="105">
        <v>76902914</v>
      </c>
      <c r="S38" s="107">
        <v>9841230</v>
      </c>
      <c r="T38" s="107">
        <f t="shared" si="6"/>
        <v>86744144</v>
      </c>
      <c r="U38" s="40">
        <f t="shared" si="7"/>
        <v>0.2200683764990126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250481736</v>
      </c>
      <c r="AA38" s="78">
        <f t="shared" si="11"/>
        <v>51887108</v>
      </c>
      <c r="AB38" s="78">
        <f t="shared" si="12"/>
        <v>302368844</v>
      </c>
      <c r="AC38" s="40">
        <f t="shared" si="13"/>
        <v>0.7671044699335924</v>
      </c>
      <c r="AD38" s="77">
        <v>48491580</v>
      </c>
      <c r="AE38" s="78">
        <v>12115160</v>
      </c>
      <c r="AF38" s="78">
        <f t="shared" si="14"/>
        <v>60606740</v>
      </c>
      <c r="AG38" s="40">
        <f>IF(247478970=0,0,215898772/247478970)</f>
        <v>0.8723923976247355</v>
      </c>
      <c r="AH38" s="40">
        <f t="shared" si="15"/>
        <v>0.4312623315492634</v>
      </c>
      <c r="AI38" s="12">
        <v>223541302</v>
      </c>
      <c r="AJ38" s="12">
        <v>247478970</v>
      </c>
      <c r="AK38" s="12">
        <v>215898772</v>
      </c>
      <c r="AL38" s="12"/>
    </row>
    <row r="39" spans="1:38" s="13" customFormat="1" ht="12.75">
      <c r="A39" s="29" t="s">
        <v>115</v>
      </c>
      <c r="B39" s="60" t="s">
        <v>308</v>
      </c>
      <c r="C39" s="39" t="s">
        <v>309</v>
      </c>
      <c r="D39" s="77">
        <v>310663387</v>
      </c>
      <c r="E39" s="78">
        <v>424875000</v>
      </c>
      <c r="F39" s="79">
        <f t="shared" si="0"/>
        <v>735538387</v>
      </c>
      <c r="G39" s="77">
        <v>388846568</v>
      </c>
      <c r="H39" s="78">
        <v>419841033</v>
      </c>
      <c r="I39" s="80">
        <f t="shared" si="1"/>
        <v>808687601</v>
      </c>
      <c r="J39" s="77">
        <v>128034812</v>
      </c>
      <c r="K39" s="78">
        <v>108844047</v>
      </c>
      <c r="L39" s="78">
        <f t="shared" si="2"/>
        <v>236878859</v>
      </c>
      <c r="M39" s="40">
        <f t="shared" si="3"/>
        <v>0.3220482617720943</v>
      </c>
      <c r="N39" s="105">
        <v>122171894</v>
      </c>
      <c r="O39" s="106">
        <v>136065317</v>
      </c>
      <c r="P39" s="107">
        <f t="shared" si="4"/>
        <v>258237211</v>
      </c>
      <c r="Q39" s="40">
        <f t="shared" si="5"/>
        <v>0.3510859739805803</v>
      </c>
      <c r="R39" s="105">
        <v>121249843</v>
      </c>
      <c r="S39" s="107">
        <v>73792511</v>
      </c>
      <c r="T39" s="107">
        <f t="shared" si="6"/>
        <v>195042354</v>
      </c>
      <c r="U39" s="40">
        <f t="shared" si="7"/>
        <v>0.24118380665020236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371456549</v>
      </c>
      <c r="AA39" s="78">
        <f t="shared" si="11"/>
        <v>318701875</v>
      </c>
      <c r="AB39" s="78">
        <f t="shared" si="12"/>
        <v>690158424</v>
      </c>
      <c r="AC39" s="40">
        <f t="shared" si="13"/>
        <v>0.8534302036368182</v>
      </c>
      <c r="AD39" s="77">
        <v>82609378</v>
      </c>
      <c r="AE39" s="78">
        <v>25691639</v>
      </c>
      <c r="AF39" s="78">
        <f t="shared" si="14"/>
        <v>108301017</v>
      </c>
      <c r="AG39" s="40">
        <f>IF(702609350=0,0,483176621/702609350)</f>
        <v>0.6876888572575928</v>
      </c>
      <c r="AH39" s="40">
        <f t="shared" si="15"/>
        <v>0.8009281851896184</v>
      </c>
      <c r="AI39" s="12">
        <v>641706983</v>
      </c>
      <c r="AJ39" s="12">
        <v>702609350</v>
      </c>
      <c r="AK39" s="12">
        <v>483176621</v>
      </c>
      <c r="AL39" s="12"/>
    </row>
    <row r="40" spans="1:38" s="56" customFormat="1" ht="12.75">
      <c r="A40" s="61"/>
      <c r="B40" s="62" t="s">
        <v>310</v>
      </c>
      <c r="C40" s="32"/>
      <c r="D40" s="81">
        <f>SUM(D35:D39)</f>
        <v>1103232612</v>
      </c>
      <c r="E40" s="82">
        <f>SUM(E35:E39)</f>
        <v>749889900</v>
      </c>
      <c r="F40" s="83">
        <f t="shared" si="0"/>
        <v>1853122512</v>
      </c>
      <c r="G40" s="81">
        <f>SUM(G35:G39)</f>
        <v>1309693897</v>
      </c>
      <c r="H40" s="82">
        <f>SUM(H35:H39)</f>
        <v>752229678</v>
      </c>
      <c r="I40" s="83">
        <f t="shared" si="1"/>
        <v>2061923575</v>
      </c>
      <c r="J40" s="81">
        <f>SUM(J35:J39)</f>
        <v>365651650</v>
      </c>
      <c r="K40" s="82">
        <f>SUM(K35:K39)</f>
        <v>175578895</v>
      </c>
      <c r="L40" s="82">
        <f t="shared" si="2"/>
        <v>541230545</v>
      </c>
      <c r="M40" s="44">
        <f t="shared" si="3"/>
        <v>0.29206409263026645</v>
      </c>
      <c r="N40" s="111">
        <f>SUM(N35:N39)</f>
        <v>326555708</v>
      </c>
      <c r="O40" s="112">
        <f>SUM(O35:O39)</f>
        <v>195101496</v>
      </c>
      <c r="P40" s="113">
        <f t="shared" si="4"/>
        <v>521657204</v>
      </c>
      <c r="Q40" s="44">
        <f t="shared" si="5"/>
        <v>0.2815017359197674</v>
      </c>
      <c r="R40" s="111">
        <f>SUM(R35:R39)</f>
        <v>296573713</v>
      </c>
      <c r="S40" s="113">
        <f>SUM(S35:S39)</f>
        <v>125272563</v>
      </c>
      <c r="T40" s="113">
        <f t="shared" si="6"/>
        <v>421846276</v>
      </c>
      <c r="U40" s="44">
        <f t="shared" si="7"/>
        <v>0.20458870596113146</v>
      </c>
      <c r="V40" s="111">
        <f>SUM(V35:V39)</f>
        <v>0</v>
      </c>
      <c r="W40" s="113">
        <f>SUM(W35:W39)</f>
        <v>0</v>
      </c>
      <c r="X40" s="113">
        <f t="shared" si="8"/>
        <v>0</v>
      </c>
      <c r="Y40" s="44">
        <f t="shared" si="9"/>
        <v>0</v>
      </c>
      <c r="Z40" s="81">
        <f t="shared" si="10"/>
        <v>988781071</v>
      </c>
      <c r="AA40" s="82">
        <f t="shared" si="11"/>
        <v>495952954</v>
      </c>
      <c r="AB40" s="82">
        <f t="shared" si="12"/>
        <v>1484734025</v>
      </c>
      <c r="AC40" s="44">
        <f t="shared" si="13"/>
        <v>0.7200722873542973</v>
      </c>
      <c r="AD40" s="81">
        <f>SUM(AD35:AD39)</f>
        <v>219684898</v>
      </c>
      <c r="AE40" s="82">
        <f>SUM(AE35:AE39)</f>
        <v>72335295</v>
      </c>
      <c r="AF40" s="82">
        <f t="shared" si="14"/>
        <v>292020193</v>
      </c>
      <c r="AG40" s="44">
        <f>IF(702609350=0,0,483176621/702609350)</f>
        <v>0.6876888572575928</v>
      </c>
      <c r="AH40" s="44">
        <f t="shared" si="15"/>
        <v>0.4445791288138763</v>
      </c>
      <c r="AI40" s="63">
        <f>SUM(AI35:AI39)</f>
        <v>1521401178</v>
      </c>
      <c r="AJ40" s="63">
        <f>SUM(AJ35:AJ39)</f>
        <v>1617182259</v>
      </c>
      <c r="AK40" s="63">
        <f>SUM(AK35:AK39)</f>
        <v>1104265630</v>
      </c>
      <c r="AL40" s="63"/>
    </row>
    <row r="41" spans="1:38" s="13" customFormat="1" ht="12.75">
      <c r="A41" s="29" t="s">
        <v>96</v>
      </c>
      <c r="B41" s="60" t="s">
        <v>78</v>
      </c>
      <c r="C41" s="39" t="s">
        <v>79</v>
      </c>
      <c r="D41" s="77">
        <v>1580961406</v>
      </c>
      <c r="E41" s="78">
        <v>400509490</v>
      </c>
      <c r="F41" s="79">
        <f t="shared" si="0"/>
        <v>1981470896</v>
      </c>
      <c r="G41" s="77">
        <v>1274771851</v>
      </c>
      <c r="H41" s="78">
        <v>389559958</v>
      </c>
      <c r="I41" s="80">
        <f t="shared" si="1"/>
        <v>1664331809</v>
      </c>
      <c r="J41" s="77">
        <v>426760772</v>
      </c>
      <c r="K41" s="78">
        <v>42408572</v>
      </c>
      <c r="L41" s="78">
        <f t="shared" si="2"/>
        <v>469169344</v>
      </c>
      <c r="M41" s="40">
        <f t="shared" si="3"/>
        <v>0.2367783170306025</v>
      </c>
      <c r="N41" s="105">
        <v>398077417</v>
      </c>
      <c r="O41" s="106">
        <v>93179558</v>
      </c>
      <c r="P41" s="107">
        <f t="shared" si="4"/>
        <v>491256975</v>
      </c>
      <c r="Q41" s="40">
        <f t="shared" si="5"/>
        <v>0.24792540530961196</v>
      </c>
      <c r="R41" s="105">
        <v>457397936</v>
      </c>
      <c r="S41" s="107">
        <v>85718785</v>
      </c>
      <c r="T41" s="107">
        <f t="shared" si="6"/>
        <v>543116721</v>
      </c>
      <c r="U41" s="40">
        <f t="shared" si="7"/>
        <v>0.32632718912362024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1282236125</v>
      </c>
      <c r="AA41" s="78">
        <f t="shared" si="11"/>
        <v>221306915</v>
      </c>
      <c r="AB41" s="78">
        <f t="shared" si="12"/>
        <v>1503543040</v>
      </c>
      <c r="AC41" s="40">
        <f t="shared" si="13"/>
        <v>0.9033913981992517</v>
      </c>
      <c r="AD41" s="77">
        <v>375795662</v>
      </c>
      <c r="AE41" s="78">
        <v>61480286</v>
      </c>
      <c r="AF41" s="78">
        <f t="shared" si="14"/>
        <v>437275948</v>
      </c>
      <c r="AG41" s="40">
        <f>IF(1936917984=0,0,1386530549/1936917984)</f>
        <v>0.7158437065758588</v>
      </c>
      <c r="AH41" s="40">
        <f t="shared" si="15"/>
        <v>0.24204572303620053</v>
      </c>
      <c r="AI41" s="12">
        <v>1970590852</v>
      </c>
      <c r="AJ41" s="12">
        <v>1936917984</v>
      </c>
      <c r="AK41" s="12">
        <v>1386530549</v>
      </c>
      <c r="AL41" s="12"/>
    </row>
    <row r="42" spans="1:38" s="13" customFormat="1" ht="12.75">
      <c r="A42" s="29" t="s">
        <v>96</v>
      </c>
      <c r="B42" s="60" t="s">
        <v>311</v>
      </c>
      <c r="C42" s="39" t="s">
        <v>312</v>
      </c>
      <c r="D42" s="77">
        <v>68770112</v>
      </c>
      <c r="E42" s="78">
        <v>24895760</v>
      </c>
      <c r="F42" s="79">
        <f aca="true" t="shared" si="16" ref="F42:F73">$D42+$E42</f>
        <v>93665872</v>
      </c>
      <c r="G42" s="77">
        <v>68770112</v>
      </c>
      <c r="H42" s="78">
        <v>24895760</v>
      </c>
      <c r="I42" s="80">
        <f aca="true" t="shared" si="17" ref="I42:I73">$G42+$H42</f>
        <v>93665872</v>
      </c>
      <c r="J42" s="77">
        <v>24277348</v>
      </c>
      <c r="K42" s="78">
        <v>2974722</v>
      </c>
      <c r="L42" s="78">
        <f aca="true" t="shared" si="18" ref="L42:L73">$J42+$K42</f>
        <v>27252070</v>
      </c>
      <c r="M42" s="40">
        <f aca="true" t="shared" si="19" ref="M42:M73">IF($F42=0,0,$L42/$F42)</f>
        <v>0.29094983496230087</v>
      </c>
      <c r="N42" s="105">
        <v>14214299</v>
      </c>
      <c r="O42" s="106">
        <v>3024873</v>
      </c>
      <c r="P42" s="107">
        <f aca="true" t="shared" si="20" ref="P42:P73">$N42+$O42</f>
        <v>17239172</v>
      </c>
      <c r="Q42" s="40">
        <f aca="true" t="shared" si="21" ref="Q42:Q73">IF($F42=0,0,$P42/$F42)</f>
        <v>0.1840496611188331</v>
      </c>
      <c r="R42" s="105">
        <v>13325811</v>
      </c>
      <c r="S42" s="107">
        <v>480952</v>
      </c>
      <c r="T42" s="107">
        <f aca="true" t="shared" si="22" ref="T42:T73">$R42+$S42</f>
        <v>13806763</v>
      </c>
      <c r="U42" s="40">
        <f aca="true" t="shared" si="23" ref="U42:U73">IF($I42=0,0,$T42/$I42)</f>
        <v>0.14740441427802006</v>
      </c>
      <c r="V42" s="105">
        <v>0</v>
      </c>
      <c r="W42" s="107">
        <v>0</v>
      </c>
      <c r="X42" s="107">
        <f aca="true" t="shared" si="24" ref="X42:X73">$V42+$W42</f>
        <v>0</v>
      </c>
      <c r="Y42" s="40">
        <f aca="true" t="shared" si="25" ref="Y42:Y73">IF($I42=0,0,$X42/$I42)</f>
        <v>0</v>
      </c>
      <c r="Z42" s="77">
        <f aca="true" t="shared" si="26" ref="Z42:Z73">$J42+$N42+$R42</f>
        <v>51817458</v>
      </c>
      <c r="AA42" s="78">
        <f aca="true" t="shared" si="27" ref="AA42:AA73">$K42+$O42+$S42</f>
        <v>6480547</v>
      </c>
      <c r="AB42" s="78">
        <f aca="true" t="shared" si="28" ref="AB42:AB73">$Z42+$AA42</f>
        <v>58298005</v>
      </c>
      <c r="AC42" s="40">
        <f aca="true" t="shared" si="29" ref="AC42:AC73">IF($I42=0,0,$AB42/$I42)</f>
        <v>0.6224039103591541</v>
      </c>
      <c r="AD42" s="77">
        <v>16903321</v>
      </c>
      <c r="AE42" s="78">
        <v>3447609</v>
      </c>
      <c r="AF42" s="78">
        <f aca="true" t="shared" si="30" ref="AF42:AF73">$AD42+$AE42</f>
        <v>20350930</v>
      </c>
      <c r="AG42" s="40">
        <f>IF(77451425=0,0,63807601/77451425)</f>
        <v>0.8238402456765643</v>
      </c>
      <c r="AH42" s="40">
        <f aca="true" t="shared" si="31" ref="AH42:AH73">IF($AF42=0,0,(($T42/$AF42)-1))</f>
        <v>-0.3215659923158303</v>
      </c>
      <c r="AI42" s="12">
        <v>77974252</v>
      </c>
      <c r="AJ42" s="12">
        <v>77451425</v>
      </c>
      <c r="AK42" s="12">
        <v>63807601</v>
      </c>
      <c r="AL42" s="12"/>
    </row>
    <row r="43" spans="1:38" s="13" customFormat="1" ht="12.75">
      <c r="A43" s="29" t="s">
        <v>96</v>
      </c>
      <c r="B43" s="60" t="s">
        <v>313</v>
      </c>
      <c r="C43" s="39" t="s">
        <v>314</v>
      </c>
      <c r="D43" s="77">
        <v>116113001</v>
      </c>
      <c r="E43" s="78">
        <v>42536906</v>
      </c>
      <c r="F43" s="79">
        <f t="shared" si="16"/>
        <v>158649907</v>
      </c>
      <c r="G43" s="77">
        <v>108001000</v>
      </c>
      <c r="H43" s="78">
        <v>49089000</v>
      </c>
      <c r="I43" s="80">
        <f t="shared" si="17"/>
        <v>157090000</v>
      </c>
      <c r="J43" s="77">
        <v>45080887</v>
      </c>
      <c r="K43" s="78">
        <v>13876793</v>
      </c>
      <c r="L43" s="78">
        <f t="shared" si="18"/>
        <v>58957680</v>
      </c>
      <c r="M43" s="40">
        <f t="shared" si="19"/>
        <v>0.371621270474492</v>
      </c>
      <c r="N43" s="105">
        <v>33499345</v>
      </c>
      <c r="O43" s="106">
        <v>12575354</v>
      </c>
      <c r="P43" s="107">
        <f t="shared" si="20"/>
        <v>46074699</v>
      </c>
      <c r="Q43" s="40">
        <f t="shared" si="21"/>
        <v>0.2904174346600783</v>
      </c>
      <c r="R43" s="105">
        <v>27140237</v>
      </c>
      <c r="S43" s="107">
        <v>3023070</v>
      </c>
      <c r="T43" s="107">
        <f t="shared" si="22"/>
        <v>30163307</v>
      </c>
      <c r="U43" s="40">
        <f t="shared" si="23"/>
        <v>0.19201290343115412</v>
      </c>
      <c r="V43" s="105">
        <v>0</v>
      </c>
      <c r="W43" s="107">
        <v>0</v>
      </c>
      <c r="X43" s="107">
        <f t="shared" si="24"/>
        <v>0</v>
      </c>
      <c r="Y43" s="40">
        <f t="shared" si="25"/>
        <v>0</v>
      </c>
      <c r="Z43" s="77">
        <f t="shared" si="26"/>
        <v>105720469</v>
      </c>
      <c r="AA43" s="78">
        <f t="shared" si="27"/>
        <v>29475217</v>
      </c>
      <c r="AB43" s="78">
        <f t="shared" si="28"/>
        <v>135195686</v>
      </c>
      <c r="AC43" s="40">
        <f t="shared" si="29"/>
        <v>0.8606256668152015</v>
      </c>
      <c r="AD43" s="77">
        <v>21761880</v>
      </c>
      <c r="AE43" s="78">
        <v>4431617</v>
      </c>
      <c r="AF43" s="78">
        <f t="shared" si="30"/>
        <v>26193497</v>
      </c>
      <c r="AG43" s="40">
        <f>IF(118303042=0,0,76492326/118303042)</f>
        <v>0.6465795359683143</v>
      </c>
      <c r="AH43" s="40">
        <f t="shared" si="31"/>
        <v>0.15155708304240556</v>
      </c>
      <c r="AI43" s="12">
        <v>149774123</v>
      </c>
      <c r="AJ43" s="12">
        <v>118303042</v>
      </c>
      <c r="AK43" s="12">
        <v>76492326</v>
      </c>
      <c r="AL43" s="12"/>
    </row>
    <row r="44" spans="1:38" s="13" customFormat="1" ht="12.75">
      <c r="A44" s="29" t="s">
        <v>115</v>
      </c>
      <c r="B44" s="60" t="s">
        <v>315</v>
      </c>
      <c r="C44" s="39" t="s">
        <v>316</v>
      </c>
      <c r="D44" s="77">
        <v>163168087</v>
      </c>
      <c r="E44" s="78">
        <v>70515211</v>
      </c>
      <c r="F44" s="79">
        <f t="shared" si="16"/>
        <v>233683298</v>
      </c>
      <c r="G44" s="77">
        <v>162197779</v>
      </c>
      <c r="H44" s="78">
        <v>69324000</v>
      </c>
      <c r="I44" s="80">
        <f t="shared" si="17"/>
        <v>231521779</v>
      </c>
      <c r="J44" s="77">
        <v>62802363</v>
      </c>
      <c r="K44" s="78">
        <v>5740386</v>
      </c>
      <c r="L44" s="78">
        <f t="shared" si="18"/>
        <v>68542749</v>
      </c>
      <c r="M44" s="40">
        <f t="shared" si="19"/>
        <v>0.2933147109212743</v>
      </c>
      <c r="N44" s="105">
        <v>53945026</v>
      </c>
      <c r="O44" s="106">
        <v>20680934</v>
      </c>
      <c r="P44" s="107">
        <f t="shared" si="20"/>
        <v>74625960</v>
      </c>
      <c r="Q44" s="40">
        <f t="shared" si="21"/>
        <v>0.3193465713583005</v>
      </c>
      <c r="R44" s="105">
        <v>40545825</v>
      </c>
      <c r="S44" s="107">
        <v>9017035</v>
      </c>
      <c r="T44" s="107">
        <f t="shared" si="22"/>
        <v>49562860</v>
      </c>
      <c r="U44" s="40">
        <f t="shared" si="23"/>
        <v>0.21407428801762965</v>
      </c>
      <c r="V44" s="105">
        <v>0</v>
      </c>
      <c r="W44" s="107">
        <v>0</v>
      </c>
      <c r="X44" s="107">
        <f t="shared" si="24"/>
        <v>0</v>
      </c>
      <c r="Y44" s="40">
        <f t="shared" si="25"/>
        <v>0</v>
      </c>
      <c r="Z44" s="77">
        <f t="shared" si="26"/>
        <v>157293214</v>
      </c>
      <c r="AA44" s="78">
        <f t="shared" si="27"/>
        <v>35438355</v>
      </c>
      <c r="AB44" s="78">
        <f t="shared" si="28"/>
        <v>192731569</v>
      </c>
      <c r="AC44" s="40">
        <f t="shared" si="29"/>
        <v>0.8324554598381866</v>
      </c>
      <c r="AD44" s="77">
        <v>5147893</v>
      </c>
      <c r="AE44" s="78">
        <v>16181822</v>
      </c>
      <c r="AF44" s="78">
        <f t="shared" si="30"/>
        <v>21329715</v>
      </c>
      <c r="AG44" s="40">
        <f>IF(219091867=0,0,123385942/219091867)</f>
        <v>0.5631698870866804</v>
      </c>
      <c r="AH44" s="40">
        <f t="shared" si="31"/>
        <v>1.3236531758628747</v>
      </c>
      <c r="AI44" s="12">
        <v>200056770</v>
      </c>
      <c r="AJ44" s="12">
        <v>219091867</v>
      </c>
      <c r="AK44" s="12">
        <v>123385942</v>
      </c>
      <c r="AL44" s="12"/>
    </row>
    <row r="45" spans="1:38" s="56" customFormat="1" ht="12.75">
      <c r="A45" s="61"/>
      <c r="B45" s="62" t="s">
        <v>317</v>
      </c>
      <c r="C45" s="32"/>
      <c r="D45" s="81">
        <f>SUM(D41:D44)</f>
        <v>1929012606</v>
      </c>
      <c r="E45" s="82">
        <f>SUM(E41:E44)</f>
        <v>538457367</v>
      </c>
      <c r="F45" s="90">
        <f t="shared" si="16"/>
        <v>2467469973</v>
      </c>
      <c r="G45" s="81">
        <f>SUM(G41:G44)</f>
        <v>1613740742</v>
      </c>
      <c r="H45" s="82">
        <f>SUM(H41:H44)</f>
        <v>532868718</v>
      </c>
      <c r="I45" s="83">
        <f t="shared" si="17"/>
        <v>2146609460</v>
      </c>
      <c r="J45" s="81">
        <f>SUM(J41:J44)</f>
        <v>558921370</v>
      </c>
      <c r="K45" s="82">
        <f>SUM(K41:K44)</f>
        <v>65000473</v>
      </c>
      <c r="L45" s="82">
        <f t="shared" si="18"/>
        <v>623921843</v>
      </c>
      <c r="M45" s="44">
        <f t="shared" si="19"/>
        <v>0.25285894046419666</v>
      </c>
      <c r="N45" s="111">
        <f>SUM(N41:N44)</f>
        <v>499736087</v>
      </c>
      <c r="O45" s="112">
        <f>SUM(O41:O44)</f>
        <v>129460719</v>
      </c>
      <c r="P45" s="113">
        <f t="shared" si="20"/>
        <v>629196806</v>
      </c>
      <c r="Q45" s="44">
        <f t="shared" si="21"/>
        <v>0.2549967427708998</v>
      </c>
      <c r="R45" s="111">
        <f>SUM(R41:R44)</f>
        <v>538409809</v>
      </c>
      <c r="S45" s="113">
        <f>SUM(S41:S44)</f>
        <v>98239842</v>
      </c>
      <c r="T45" s="113">
        <f t="shared" si="22"/>
        <v>636649651</v>
      </c>
      <c r="U45" s="44">
        <f t="shared" si="23"/>
        <v>0.2965838280615795</v>
      </c>
      <c r="V45" s="111">
        <f>SUM(V41:V44)</f>
        <v>0</v>
      </c>
      <c r="W45" s="113">
        <f>SUM(W41:W44)</f>
        <v>0</v>
      </c>
      <c r="X45" s="113">
        <f t="shared" si="24"/>
        <v>0</v>
      </c>
      <c r="Y45" s="44">
        <f t="shared" si="25"/>
        <v>0</v>
      </c>
      <c r="Z45" s="81">
        <f t="shared" si="26"/>
        <v>1597067266</v>
      </c>
      <c r="AA45" s="82">
        <f t="shared" si="27"/>
        <v>292701034</v>
      </c>
      <c r="AB45" s="82">
        <f t="shared" si="28"/>
        <v>1889768300</v>
      </c>
      <c r="AC45" s="44">
        <f t="shared" si="29"/>
        <v>0.8803503083416021</v>
      </c>
      <c r="AD45" s="81">
        <f>SUM(AD41:AD44)</f>
        <v>419608756</v>
      </c>
      <c r="AE45" s="82">
        <f>SUM(AE41:AE44)</f>
        <v>85541334</v>
      </c>
      <c r="AF45" s="82">
        <f t="shared" si="30"/>
        <v>505150090</v>
      </c>
      <c r="AG45" s="44">
        <f>IF(219091867=0,0,123385942/219091867)</f>
        <v>0.5631698870866804</v>
      </c>
      <c r="AH45" s="44">
        <f t="shared" si="31"/>
        <v>0.2603178017844161</v>
      </c>
      <c r="AI45" s="63">
        <f>SUM(AI41:AI44)</f>
        <v>2398395997</v>
      </c>
      <c r="AJ45" s="63">
        <f>SUM(AJ41:AJ44)</f>
        <v>2351764318</v>
      </c>
      <c r="AK45" s="63">
        <f>SUM(AK41:AK44)</f>
        <v>1650216418</v>
      </c>
      <c r="AL45" s="63"/>
    </row>
    <row r="46" spans="1:38" s="13" customFormat="1" ht="12.75">
      <c r="A46" s="29" t="s">
        <v>96</v>
      </c>
      <c r="B46" s="60" t="s">
        <v>318</v>
      </c>
      <c r="C46" s="39" t="s">
        <v>319</v>
      </c>
      <c r="D46" s="77">
        <v>110236122</v>
      </c>
      <c r="E46" s="78">
        <v>39321500</v>
      </c>
      <c r="F46" s="80">
        <f t="shared" si="16"/>
        <v>149557622</v>
      </c>
      <c r="G46" s="77">
        <v>110236122</v>
      </c>
      <c r="H46" s="78">
        <v>39321500</v>
      </c>
      <c r="I46" s="80">
        <f t="shared" si="17"/>
        <v>149557622</v>
      </c>
      <c r="J46" s="77">
        <v>32984250</v>
      </c>
      <c r="K46" s="78">
        <v>8723117</v>
      </c>
      <c r="L46" s="78">
        <f t="shared" si="18"/>
        <v>41707367</v>
      </c>
      <c r="M46" s="40">
        <f t="shared" si="19"/>
        <v>0.27887155761275745</v>
      </c>
      <c r="N46" s="105">
        <v>33862499</v>
      </c>
      <c r="O46" s="106">
        <v>4453592</v>
      </c>
      <c r="P46" s="107">
        <f t="shared" si="20"/>
        <v>38316091</v>
      </c>
      <c r="Q46" s="40">
        <f t="shared" si="21"/>
        <v>0.25619617701597314</v>
      </c>
      <c r="R46" s="105">
        <v>25942016</v>
      </c>
      <c r="S46" s="107">
        <v>7835739</v>
      </c>
      <c r="T46" s="107">
        <f t="shared" si="22"/>
        <v>33777755</v>
      </c>
      <c r="U46" s="40">
        <f t="shared" si="23"/>
        <v>0.2258511104168265</v>
      </c>
      <c r="V46" s="105">
        <v>0</v>
      </c>
      <c r="W46" s="107">
        <v>0</v>
      </c>
      <c r="X46" s="107">
        <f t="shared" si="24"/>
        <v>0</v>
      </c>
      <c r="Y46" s="40">
        <f t="shared" si="25"/>
        <v>0</v>
      </c>
      <c r="Z46" s="77">
        <f t="shared" si="26"/>
        <v>92788765</v>
      </c>
      <c r="AA46" s="78">
        <f t="shared" si="27"/>
        <v>21012448</v>
      </c>
      <c r="AB46" s="78">
        <f t="shared" si="28"/>
        <v>113801213</v>
      </c>
      <c r="AC46" s="40">
        <f t="shared" si="29"/>
        <v>0.7609188450455571</v>
      </c>
      <c r="AD46" s="77">
        <v>28555102</v>
      </c>
      <c r="AE46" s="78">
        <v>7488216</v>
      </c>
      <c r="AF46" s="78">
        <f t="shared" si="30"/>
        <v>36043318</v>
      </c>
      <c r="AG46" s="40">
        <f>IF(129101849=0,0,109999853/129101849)</f>
        <v>0.8520393305908422</v>
      </c>
      <c r="AH46" s="40">
        <f t="shared" si="31"/>
        <v>-0.062856671519531</v>
      </c>
      <c r="AI46" s="12">
        <v>118469285</v>
      </c>
      <c r="AJ46" s="12">
        <v>129101849</v>
      </c>
      <c r="AK46" s="12">
        <v>109999853</v>
      </c>
      <c r="AL46" s="12"/>
    </row>
    <row r="47" spans="1:38" s="13" customFormat="1" ht="12.75">
      <c r="A47" s="29" t="s">
        <v>96</v>
      </c>
      <c r="B47" s="60" t="s">
        <v>320</v>
      </c>
      <c r="C47" s="39" t="s">
        <v>321</v>
      </c>
      <c r="D47" s="77">
        <v>185931573</v>
      </c>
      <c r="E47" s="78">
        <v>56332000</v>
      </c>
      <c r="F47" s="79">
        <f t="shared" si="16"/>
        <v>242263573</v>
      </c>
      <c r="G47" s="77">
        <v>185931573</v>
      </c>
      <c r="H47" s="78">
        <v>56332000</v>
      </c>
      <c r="I47" s="80">
        <f t="shared" si="17"/>
        <v>242263573</v>
      </c>
      <c r="J47" s="77">
        <v>47215367</v>
      </c>
      <c r="K47" s="78">
        <v>10446387</v>
      </c>
      <c r="L47" s="78">
        <f t="shared" si="18"/>
        <v>57661754</v>
      </c>
      <c r="M47" s="40">
        <f t="shared" si="19"/>
        <v>0.2380124807289951</v>
      </c>
      <c r="N47" s="105">
        <v>25682701</v>
      </c>
      <c r="O47" s="106">
        <v>23753137</v>
      </c>
      <c r="P47" s="107">
        <f t="shared" si="20"/>
        <v>49435838</v>
      </c>
      <c r="Q47" s="40">
        <f t="shared" si="21"/>
        <v>0.20405807355941208</v>
      </c>
      <c r="R47" s="105">
        <v>30531738</v>
      </c>
      <c r="S47" s="107">
        <v>4868682</v>
      </c>
      <c r="T47" s="107">
        <f t="shared" si="22"/>
        <v>35400420</v>
      </c>
      <c r="U47" s="40">
        <f t="shared" si="23"/>
        <v>0.1461235775631857</v>
      </c>
      <c r="V47" s="105">
        <v>0</v>
      </c>
      <c r="W47" s="107">
        <v>0</v>
      </c>
      <c r="X47" s="107">
        <f t="shared" si="24"/>
        <v>0</v>
      </c>
      <c r="Y47" s="40">
        <f t="shared" si="25"/>
        <v>0</v>
      </c>
      <c r="Z47" s="77">
        <f t="shared" si="26"/>
        <v>103429806</v>
      </c>
      <c r="AA47" s="78">
        <f t="shared" si="27"/>
        <v>39068206</v>
      </c>
      <c r="AB47" s="78">
        <f t="shared" si="28"/>
        <v>142498012</v>
      </c>
      <c r="AC47" s="40">
        <f t="shared" si="29"/>
        <v>0.5881941318515929</v>
      </c>
      <c r="AD47" s="77">
        <v>44517377</v>
      </c>
      <c r="AE47" s="78">
        <v>9624661</v>
      </c>
      <c r="AF47" s="78">
        <f t="shared" si="30"/>
        <v>54142038</v>
      </c>
      <c r="AG47" s="40">
        <f>IF(204354041=0,0,175888031/204354041)</f>
        <v>0.860702485447792</v>
      </c>
      <c r="AH47" s="40">
        <f t="shared" si="31"/>
        <v>-0.3461564930378128</v>
      </c>
      <c r="AI47" s="12">
        <v>206919811</v>
      </c>
      <c r="AJ47" s="12">
        <v>204354041</v>
      </c>
      <c r="AK47" s="12">
        <v>175888031</v>
      </c>
      <c r="AL47" s="12"/>
    </row>
    <row r="48" spans="1:38" s="13" customFormat="1" ht="12.75">
      <c r="A48" s="29" t="s">
        <v>96</v>
      </c>
      <c r="B48" s="60" t="s">
        <v>322</v>
      </c>
      <c r="C48" s="39" t="s">
        <v>323</v>
      </c>
      <c r="D48" s="77">
        <v>458212830</v>
      </c>
      <c r="E48" s="78">
        <v>65061000</v>
      </c>
      <c r="F48" s="79">
        <f t="shared" si="16"/>
        <v>523273830</v>
      </c>
      <c r="G48" s="77">
        <v>458212830</v>
      </c>
      <c r="H48" s="78">
        <v>65061000</v>
      </c>
      <c r="I48" s="80">
        <f t="shared" si="17"/>
        <v>523273830</v>
      </c>
      <c r="J48" s="77">
        <v>130580779</v>
      </c>
      <c r="K48" s="78">
        <v>34038376</v>
      </c>
      <c r="L48" s="78">
        <f t="shared" si="18"/>
        <v>164619155</v>
      </c>
      <c r="M48" s="40">
        <f t="shared" si="19"/>
        <v>0.31459466451819307</v>
      </c>
      <c r="N48" s="105">
        <v>113225920</v>
      </c>
      <c r="O48" s="106">
        <v>52840998</v>
      </c>
      <c r="P48" s="107">
        <f t="shared" si="20"/>
        <v>166066918</v>
      </c>
      <c r="Q48" s="40">
        <f t="shared" si="21"/>
        <v>0.31736140521302203</v>
      </c>
      <c r="R48" s="105">
        <v>141267840</v>
      </c>
      <c r="S48" s="107">
        <v>172321</v>
      </c>
      <c r="T48" s="107">
        <f t="shared" si="22"/>
        <v>141440161</v>
      </c>
      <c r="U48" s="40">
        <f t="shared" si="23"/>
        <v>0.27029855668493874</v>
      </c>
      <c r="V48" s="105">
        <v>0</v>
      </c>
      <c r="W48" s="107">
        <v>0</v>
      </c>
      <c r="X48" s="107">
        <f t="shared" si="24"/>
        <v>0</v>
      </c>
      <c r="Y48" s="40">
        <f t="shared" si="25"/>
        <v>0</v>
      </c>
      <c r="Z48" s="77">
        <f t="shared" si="26"/>
        <v>385074539</v>
      </c>
      <c r="AA48" s="78">
        <f t="shared" si="27"/>
        <v>87051695</v>
      </c>
      <c r="AB48" s="78">
        <f t="shared" si="28"/>
        <v>472126234</v>
      </c>
      <c r="AC48" s="40">
        <f t="shared" si="29"/>
        <v>0.9022546264161538</v>
      </c>
      <c r="AD48" s="77">
        <v>113141222</v>
      </c>
      <c r="AE48" s="78">
        <v>6766946</v>
      </c>
      <c r="AF48" s="78">
        <f t="shared" si="30"/>
        <v>119908168</v>
      </c>
      <c r="AG48" s="40">
        <f>IF(487718300=0,0,365591732/487718300)</f>
        <v>0.7495960926625062</v>
      </c>
      <c r="AH48" s="40">
        <f t="shared" si="31"/>
        <v>0.17957069446678564</v>
      </c>
      <c r="AI48" s="12">
        <v>474423830</v>
      </c>
      <c r="AJ48" s="12">
        <v>487718300</v>
      </c>
      <c r="AK48" s="12">
        <v>365591732</v>
      </c>
      <c r="AL48" s="12"/>
    </row>
    <row r="49" spans="1:38" s="13" customFormat="1" ht="12.75">
      <c r="A49" s="29" t="s">
        <v>96</v>
      </c>
      <c r="B49" s="60" t="s">
        <v>324</v>
      </c>
      <c r="C49" s="39" t="s">
        <v>325</v>
      </c>
      <c r="D49" s="77">
        <v>152788746</v>
      </c>
      <c r="E49" s="78">
        <v>47873000</v>
      </c>
      <c r="F49" s="79">
        <f t="shared" si="16"/>
        <v>200661746</v>
      </c>
      <c r="G49" s="77">
        <v>156225062</v>
      </c>
      <c r="H49" s="78">
        <v>47873000</v>
      </c>
      <c r="I49" s="80">
        <f t="shared" si="17"/>
        <v>204098062</v>
      </c>
      <c r="J49" s="77">
        <v>65889817</v>
      </c>
      <c r="K49" s="78">
        <v>12787909</v>
      </c>
      <c r="L49" s="78">
        <f t="shared" si="18"/>
        <v>78677726</v>
      </c>
      <c r="M49" s="40">
        <f t="shared" si="19"/>
        <v>0.3920913057339788</v>
      </c>
      <c r="N49" s="105">
        <v>41593292</v>
      </c>
      <c r="O49" s="106">
        <v>10263435</v>
      </c>
      <c r="P49" s="107">
        <f t="shared" si="20"/>
        <v>51856727</v>
      </c>
      <c r="Q49" s="40">
        <f t="shared" si="21"/>
        <v>0.2584285646552682</v>
      </c>
      <c r="R49" s="105">
        <v>36990803</v>
      </c>
      <c r="S49" s="107">
        <v>9382041</v>
      </c>
      <c r="T49" s="107">
        <f t="shared" si="22"/>
        <v>46372844</v>
      </c>
      <c r="U49" s="40">
        <f t="shared" si="23"/>
        <v>0.22720864444072966</v>
      </c>
      <c r="V49" s="105">
        <v>0</v>
      </c>
      <c r="W49" s="107">
        <v>0</v>
      </c>
      <c r="X49" s="107">
        <f t="shared" si="24"/>
        <v>0</v>
      </c>
      <c r="Y49" s="40">
        <f t="shared" si="25"/>
        <v>0</v>
      </c>
      <c r="Z49" s="77">
        <f t="shared" si="26"/>
        <v>144473912</v>
      </c>
      <c r="AA49" s="78">
        <f t="shared" si="27"/>
        <v>32433385</v>
      </c>
      <c r="AB49" s="78">
        <f t="shared" si="28"/>
        <v>176907297</v>
      </c>
      <c r="AC49" s="40">
        <f t="shared" si="29"/>
        <v>0.8667759765401398</v>
      </c>
      <c r="AD49" s="77">
        <v>30873298</v>
      </c>
      <c r="AE49" s="78">
        <v>7023180</v>
      </c>
      <c r="AF49" s="78">
        <f t="shared" si="30"/>
        <v>37896478</v>
      </c>
      <c r="AG49" s="40">
        <f>IF(172832862=0,0,140474515/172832862)</f>
        <v>0.8127766523938023</v>
      </c>
      <c r="AH49" s="40">
        <f t="shared" si="31"/>
        <v>0.22367160346668635</v>
      </c>
      <c r="AI49" s="12">
        <v>191190000</v>
      </c>
      <c r="AJ49" s="12">
        <v>172832862</v>
      </c>
      <c r="AK49" s="12">
        <v>140474515</v>
      </c>
      <c r="AL49" s="12"/>
    </row>
    <row r="50" spans="1:38" s="13" customFormat="1" ht="12.75">
      <c r="A50" s="29" t="s">
        <v>96</v>
      </c>
      <c r="B50" s="60" t="s">
        <v>326</v>
      </c>
      <c r="C50" s="39" t="s">
        <v>327</v>
      </c>
      <c r="D50" s="77">
        <v>321511445</v>
      </c>
      <c r="E50" s="78">
        <v>53994000</v>
      </c>
      <c r="F50" s="79">
        <f t="shared" si="16"/>
        <v>375505445</v>
      </c>
      <c r="G50" s="77">
        <v>321511445</v>
      </c>
      <c r="H50" s="78">
        <v>53994000</v>
      </c>
      <c r="I50" s="80">
        <f t="shared" si="17"/>
        <v>375505445</v>
      </c>
      <c r="J50" s="77">
        <v>93377620</v>
      </c>
      <c r="K50" s="78">
        <v>13300800</v>
      </c>
      <c r="L50" s="78">
        <f t="shared" si="18"/>
        <v>106678420</v>
      </c>
      <c r="M50" s="40">
        <f t="shared" si="19"/>
        <v>0.2840928711433199</v>
      </c>
      <c r="N50" s="105">
        <v>61142410</v>
      </c>
      <c r="O50" s="106">
        <v>25572017</v>
      </c>
      <c r="P50" s="107">
        <f t="shared" si="20"/>
        <v>86714427</v>
      </c>
      <c r="Q50" s="40">
        <f t="shared" si="21"/>
        <v>0.23092721598218102</v>
      </c>
      <c r="R50" s="105">
        <v>52917394</v>
      </c>
      <c r="S50" s="107">
        <v>1789556</v>
      </c>
      <c r="T50" s="107">
        <f t="shared" si="22"/>
        <v>54706950</v>
      </c>
      <c r="U50" s="40">
        <f t="shared" si="23"/>
        <v>0.1456888328210527</v>
      </c>
      <c r="V50" s="105">
        <v>0</v>
      </c>
      <c r="W50" s="107">
        <v>0</v>
      </c>
      <c r="X50" s="107">
        <f t="shared" si="24"/>
        <v>0</v>
      </c>
      <c r="Y50" s="40">
        <f t="shared" si="25"/>
        <v>0</v>
      </c>
      <c r="Z50" s="77">
        <f t="shared" si="26"/>
        <v>207437424</v>
      </c>
      <c r="AA50" s="78">
        <f t="shared" si="27"/>
        <v>40662373</v>
      </c>
      <c r="AB50" s="78">
        <f t="shared" si="28"/>
        <v>248099797</v>
      </c>
      <c r="AC50" s="40">
        <f t="shared" si="29"/>
        <v>0.6607089199465537</v>
      </c>
      <c r="AD50" s="77">
        <v>44737042</v>
      </c>
      <c r="AE50" s="78">
        <v>4292822</v>
      </c>
      <c r="AF50" s="78">
        <f t="shared" si="30"/>
        <v>49029864</v>
      </c>
      <c r="AG50" s="40">
        <f>IF(294897182=0,0,206731411/294897182)</f>
        <v>0.701028777548644</v>
      </c>
      <c r="AH50" s="40">
        <f t="shared" si="31"/>
        <v>0.11578832851749299</v>
      </c>
      <c r="AI50" s="12">
        <v>281036594</v>
      </c>
      <c r="AJ50" s="12">
        <v>294897182</v>
      </c>
      <c r="AK50" s="12">
        <v>206731411</v>
      </c>
      <c r="AL50" s="12"/>
    </row>
    <row r="51" spans="1:38" s="13" customFormat="1" ht="12.75">
      <c r="A51" s="29" t="s">
        <v>115</v>
      </c>
      <c r="B51" s="60" t="s">
        <v>328</v>
      </c>
      <c r="C51" s="39" t="s">
        <v>329</v>
      </c>
      <c r="D51" s="77">
        <v>464944190</v>
      </c>
      <c r="E51" s="78">
        <v>503386000</v>
      </c>
      <c r="F51" s="79">
        <f t="shared" si="16"/>
        <v>968330190</v>
      </c>
      <c r="G51" s="77">
        <v>462313695</v>
      </c>
      <c r="H51" s="78">
        <v>526995000</v>
      </c>
      <c r="I51" s="80">
        <f t="shared" si="17"/>
        <v>989308695</v>
      </c>
      <c r="J51" s="77">
        <v>148170313</v>
      </c>
      <c r="K51" s="78">
        <v>68526027</v>
      </c>
      <c r="L51" s="78">
        <f t="shared" si="18"/>
        <v>216696340</v>
      </c>
      <c r="M51" s="40">
        <f t="shared" si="19"/>
        <v>0.22378352161053658</v>
      </c>
      <c r="N51" s="105">
        <v>118433019</v>
      </c>
      <c r="O51" s="106">
        <v>161184950</v>
      </c>
      <c r="P51" s="107">
        <f t="shared" si="20"/>
        <v>279617969</v>
      </c>
      <c r="Q51" s="40">
        <f t="shared" si="21"/>
        <v>0.2887630395991268</v>
      </c>
      <c r="R51" s="105">
        <v>95643614</v>
      </c>
      <c r="S51" s="107">
        <v>122984247</v>
      </c>
      <c r="T51" s="107">
        <f t="shared" si="22"/>
        <v>218627861</v>
      </c>
      <c r="U51" s="40">
        <f t="shared" si="23"/>
        <v>0.22099053824650758</v>
      </c>
      <c r="V51" s="105">
        <v>0</v>
      </c>
      <c r="W51" s="107">
        <v>0</v>
      </c>
      <c r="X51" s="107">
        <f t="shared" si="24"/>
        <v>0</v>
      </c>
      <c r="Y51" s="40">
        <f t="shared" si="25"/>
        <v>0</v>
      </c>
      <c r="Z51" s="77">
        <f t="shared" si="26"/>
        <v>362246946</v>
      </c>
      <c r="AA51" s="78">
        <f t="shared" si="27"/>
        <v>352695224</v>
      </c>
      <c r="AB51" s="78">
        <f t="shared" si="28"/>
        <v>714942170</v>
      </c>
      <c r="AC51" s="40">
        <f t="shared" si="29"/>
        <v>0.7226684386919292</v>
      </c>
      <c r="AD51" s="77">
        <v>99500892</v>
      </c>
      <c r="AE51" s="78">
        <v>55492189</v>
      </c>
      <c r="AF51" s="78">
        <f t="shared" si="30"/>
        <v>154993081</v>
      </c>
      <c r="AG51" s="40">
        <f>IF(882483000=0,0,536313732/882483000)</f>
        <v>0.6077326498074184</v>
      </c>
      <c r="AH51" s="40">
        <f t="shared" si="31"/>
        <v>0.4105652948469358</v>
      </c>
      <c r="AI51" s="12">
        <v>887192000</v>
      </c>
      <c r="AJ51" s="12">
        <v>882483000</v>
      </c>
      <c r="AK51" s="12">
        <v>536313732</v>
      </c>
      <c r="AL51" s="12"/>
    </row>
    <row r="52" spans="1:38" s="56" customFormat="1" ht="12.75">
      <c r="A52" s="61"/>
      <c r="B52" s="62" t="s">
        <v>330</v>
      </c>
      <c r="C52" s="32"/>
      <c r="D52" s="81">
        <f>SUM(D46:D51)</f>
        <v>1693624906</v>
      </c>
      <c r="E52" s="82">
        <f>SUM(E46:E51)</f>
        <v>765967500</v>
      </c>
      <c r="F52" s="90">
        <f t="shared" si="16"/>
        <v>2459592406</v>
      </c>
      <c r="G52" s="81">
        <f>SUM(G46:G51)</f>
        <v>1694430727</v>
      </c>
      <c r="H52" s="82">
        <f>SUM(H46:H51)</f>
        <v>789576500</v>
      </c>
      <c r="I52" s="83">
        <f t="shared" si="17"/>
        <v>2484007227</v>
      </c>
      <c r="J52" s="81">
        <f>SUM(J46:J51)</f>
        <v>518218146</v>
      </c>
      <c r="K52" s="82">
        <f>SUM(K46:K51)</f>
        <v>147822616</v>
      </c>
      <c r="L52" s="82">
        <f t="shared" si="18"/>
        <v>666040762</v>
      </c>
      <c r="M52" s="44">
        <f t="shared" si="19"/>
        <v>0.2707931445776305</v>
      </c>
      <c r="N52" s="111">
        <f>SUM(N46:N51)</f>
        <v>393939841</v>
      </c>
      <c r="O52" s="112">
        <f>SUM(O46:O51)</f>
        <v>278068129</v>
      </c>
      <c r="P52" s="113">
        <f t="shared" si="20"/>
        <v>672007970</v>
      </c>
      <c r="Q52" s="44">
        <f t="shared" si="21"/>
        <v>0.27321924086311394</v>
      </c>
      <c r="R52" s="111">
        <f>SUM(R46:R51)</f>
        <v>383293405</v>
      </c>
      <c r="S52" s="113">
        <f>SUM(S46:S51)</f>
        <v>147032586</v>
      </c>
      <c r="T52" s="113">
        <f t="shared" si="22"/>
        <v>530325991</v>
      </c>
      <c r="U52" s="44">
        <f t="shared" si="23"/>
        <v>0.21349615461485127</v>
      </c>
      <c r="V52" s="111">
        <f>SUM(V46:V51)</f>
        <v>0</v>
      </c>
      <c r="W52" s="113">
        <f>SUM(W46:W51)</f>
        <v>0</v>
      </c>
      <c r="X52" s="113">
        <f t="shared" si="24"/>
        <v>0</v>
      </c>
      <c r="Y52" s="44">
        <f t="shared" si="25"/>
        <v>0</v>
      </c>
      <c r="Z52" s="81">
        <f t="shared" si="26"/>
        <v>1295451392</v>
      </c>
      <c r="AA52" s="82">
        <f t="shared" si="27"/>
        <v>572923331</v>
      </c>
      <c r="AB52" s="82">
        <f t="shared" si="28"/>
        <v>1868374723</v>
      </c>
      <c r="AC52" s="44">
        <f t="shared" si="29"/>
        <v>0.7521615487634811</v>
      </c>
      <c r="AD52" s="81">
        <f>SUM(AD46:AD51)</f>
        <v>361324933</v>
      </c>
      <c r="AE52" s="82">
        <f>SUM(AE46:AE51)</f>
        <v>90688014</v>
      </c>
      <c r="AF52" s="82">
        <f t="shared" si="30"/>
        <v>452012947</v>
      </c>
      <c r="AG52" s="44">
        <f>IF(882483000=0,0,536313732/882483000)</f>
        <v>0.6077326498074184</v>
      </c>
      <c r="AH52" s="44">
        <f t="shared" si="31"/>
        <v>0.17325398424926086</v>
      </c>
      <c r="AI52" s="63">
        <f>SUM(AI46:AI51)</f>
        <v>2159231520</v>
      </c>
      <c r="AJ52" s="63">
        <f>SUM(AJ46:AJ51)</f>
        <v>2171387234</v>
      </c>
      <c r="AK52" s="63">
        <f>SUM(AK46:AK51)</f>
        <v>1534999274</v>
      </c>
      <c r="AL52" s="63"/>
    </row>
    <row r="53" spans="1:38" s="13" customFormat="1" ht="12.75">
      <c r="A53" s="29" t="s">
        <v>96</v>
      </c>
      <c r="B53" s="60" t="s">
        <v>331</v>
      </c>
      <c r="C53" s="39" t="s">
        <v>332</v>
      </c>
      <c r="D53" s="77">
        <v>157178466</v>
      </c>
      <c r="E53" s="78">
        <v>84954364</v>
      </c>
      <c r="F53" s="79">
        <f t="shared" si="16"/>
        <v>242132830</v>
      </c>
      <c r="G53" s="77">
        <v>155897829</v>
      </c>
      <c r="H53" s="78">
        <v>94954000</v>
      </c>
      <c r="I53" s="80">
        <f t="shared" si="17"/>
        <v>250851829</v>
      </c>
      <c r="J53" s="77">
        <v>59763911</v>
      </c>
      <c r="K53" s="78">
        <v>9868550</v>
      </c>
      <c r="L53" s="78">
        <f t="shared" si="18"/>
        <v>69632461</v>
      </c>
      <c r="M53" s="40">
        <f t="shared" si="19"/>
        <v>0.28757959422520274</v>
      </c>
      <c r="N53" s="105">
        <v>49196876</v>
      </c>
      <c r="O53" s="106">
        <v>17539986</v>
      </c>
      <c r="P53" s="107">
        <f t="shared" si="20"/>
        <v>66736862</v>
      </c>
      <c r="Q53" s="40">
        <f t="shared" si="21"/>
        <v>0.2756208730555043</v>
      </c>
      <c r="R53" s="105">
        <v>39401932</v>
      </c>
      <c r="S53" s="107">
        <v>8185505</v>
      </c>
      <c r="T53" s="107">
        <f t="shared" si="22"/>
        <v>47587437</v>
      </c>
      <c r="U53" s="40">
        <f t="shared" si="23"/>
        <v>0.18970336867665413</v>
      </c>
      <c r="V53" s="105">
        <v>0</v>
      </c>
      <c r="W53" s="107">
        <v>0</v>
      </c>
      <c r="X53" s="107">
        <f t="shared" si="24"/>
        <v>0</v>
      </c>
      <c r="Y53" s="40">
        <f t="shared" si="25"/>
        <v>0</v>
      </c>
      <c r="Z53" s="77">
        <f t="shared" si="26"/>
        <v>148362719</v>
      </c>
      <c r="AA53" s="78">
        <f t="shared" si="27"/>
        <v>35594041</v>
      </c>
      <c r="AB53" s="78">
        <f t="shared" si="28"/>
        <v>183956760</v>
      </c>
      <c r="AC53" s="40">
        <f t="shared" si="29"/>
        <v>0.7333283585506566</v>
      </c>
      <c r="AD53" s="77">
        <v>33825613</v>
      </c>
      <c r="AE53" s="78">
        <v>16143116</v>
      </c>
      <c r="AF53" s="78">
        <f t="shared" si="30"/>
        <v>49968729</v>
      </c>
      <c r="AG53" s="40">
        <f>IF(197008800=0,0,159632299/197008800)</f>
        <v>0.8102800433280137</v>
      </c>
      <c r="AH53" s="40">
        <f t="shared" si="31"/>
        <v>-0.0476556447933667</v>
      </c>
      <c r="AI53" s="12">
        <v>170442568</v>
      </c>
      <c r="AJ53" s="12">
        <v>197008800</v>
      </c>
      <c r="AK53" s="12">
        <v>159632299</v>
      </c>
      <c r="AL53" s="12"/>
    </row>
    <row r="54" spans="1:38" s="13" customFormat="1" ht="12.75">
      <c r="A54" s="29" t="s">
        <v>96</v>
      </c>
      <c r="B54" s="60" t="s">
        <v>333</v>
      </c>
      <c r="C54" s="39" t="s">
        <v>334</v>
      </c>
      <c r="D54" s="77">
        <v>182123700</v>
      </c>
      <c r="E54" s="78">
        <v>66228700</v>
      </c>
      <c r="F54" s="79">
        <f t="shared" si="16"/>
        <v>248352400</v>
      </c>
      <c r="G54" s="77">
        <v>182123700</v>
      </c>
      <c r="H54" s="78">
        <v>66228700</v>
      </c>
      <c r="I54" s="80">
        <f t="shared" si="17"/>
        <v>248352400</v>
      </c>
      <c r="J54" s="77">
        <v>81956913</v>
      </c>
      <c r="K54" s="78">
        <v>5916539</v>
      </c>
      <c r="L54" s="78">
        <f t="shared" si="18"/>
        <v>87873452</v>
      </c>
      <c r="M54" s="40">
        <f t="shared" si="19"/>
        <v>0.35382566063384124</v>
      </c>
      <c r="N54" s="105">
        <v>51945734</v>
      </c>
      <c r="O54" s="106">
        <v>12636487</v>
      </c>
      <c r="P54" s="107">
        <f t="shared" si="20"/>
        <v>64582221</v>
      </c>
      <c r="Q54" s="40">
        <f t="shared" si="21"/>
        <v>0.26004266920714275</v>
      </c>
      <c r="R54" s="105">
        <v>0</v>
      </c>
      <c r="S54" s="107">
        <v>8715300</v>
      </c>
      <c r="T54" s="107">
        <f t="shared" si="22"/>
        <v>8715300</v>
      </c>
      <c r="U54" s="40">
        <f t="shared" si="23"/>
        <v>0.035092473436938804</v>
      </c>
      <c r="V54" s="105">
        <v>0</v>
      </c>
      <c r="W54" s="107">
        <v>0</v>
      </c>
      <c r="X54" s="107">
        <f t="shared" si="24"/>
        <v>0</v>
      </c>
      <c r="Y54" s="40">
        <f t="shared" si="25"/>
        <v>0</v>
      </c>
      <c r="Z54" s="77">
        <f t="shared" si="26"/>
        <v>133902647</v>
      </c>
      <c r="AA54" s="78">
        <f t="shared" si="27"/>
        <v>27268326</v>
      </c>
      <c r="AB54" s="78">
        <f t="shared" si="28"/>
        <v>161170973</v>
      </c>
      <c r="AC54" s="40">
        <f t="shared" si="29"/>
        <v>0.6489608032779228</v>
      </c>
      <c r="AD54" s="77">
        <v>33700625</v>
      </c>
      <c r="AE54" s="78">
        <v>6353394</v>
      </c>
      <c r="AF54" s="78">
        <f t="shared" si="30"/>
        <v>40054019</v>
      </c>
      <c r="AG54" s="40">
        <f>IF(210329574=0,0,167018429/210329574)</f>
        <v>0.7940796238193303</v>
      </c>
      <c r="AH54" s="40">
        <f t="shared" si="31"/>
        <v>-0.7824113480347628</v>
      </c>
      <c r="AI54" s="12">
        <v>234567755</v>
      </c>
      <c r="AJ54" s="12">
        <v>210329574</v>
      </c>
      <c r="AK54" s="12">
        <v>167018429</v>
      </c>
      <c r="AL54" s="12"/>
    </row>
    <row r="55" spans="1:38" s="13" customFormat="1" ht="12.75">
      <c r="A55" s="29" t="s">
        <v>96</v>
      </c>
      <c r="B55" s="60" t="s">
        <v>335</v>
      </c>
      <c r="C55" s="39" t="s">
        <v>336</v>
      </c>
      <c r="D55" s="77">
        <v>70855000</v>
      </c>
      <c r="E55" s="78">
        <v>11719000</v>
      </c>
      <c r="F55" s="80">
        <f t="shared" si="16"/>
        <v>82574000</v>
      </c>
      <c r="G55" s="77">
        <v>62463000</v>
      </c>
      <c r="H55" s="78">
        <v>11719000</v>
      </c>
      <c r="I55" s="80">
        <f t="shared" si="17"/>
        <v>74182000</v>
      </c>
      <c r="J55" s="77">
        <v>23808876</v>
      </c>
      <c r="K55" s="78">
        <v>7376170</v>
      </c>
      <c r="L55" s="78">
        <f t="shared" si="18"/>
        <v>31185046</v>
      </c>
      <c r="M55" s="40">
        <f t="shared" si="19"/>
        <v>0.3776618063797321</v>
      </c>
      <c r="N55" s="105">
        <v>15108651</v>
      </c>
      <c r="O55" s="106">
        <v>3216837</v>
      </c>
      <c r="P55" s="107">
        <f t="shared" si="20"/>
        <v>18325488</v>
      </c>
      <c r="Q55" s="40">
        <f t="shared" si="21"/>
        <v>0.22192806452394215</v>
      </c>
      <c r="R55" s="105">
        <v>13753385</v>
      </c>
      <c r="S55" s="107">
        <v>720139</v>
      </c>
      <c r="T55" s="107">
        <f t="shared" si="22"/>
        <v>14473524</v>
      </c>
      <c r="U55" s="40">
        <f t="shared" si="23"/>
        <v>0.1951083012051441</v>
      </c>
      <c r="V55" s="105">
        <v>0</v>
      </c>
      <c r="W55" s="107">
        <v>0</v>
      </c>
      <c r="X55" s="107">
        <f t="shared" si="24"/>
        <v>0</v>
      </c>
      <c r="Y55" s="40">
        <f t="shared" si="25"/>
        <v>0</v>
      </c>
      <c r="Z55" s="77">
        <f t="shared" si="26"/>
        <v>52670912</v>
      </c>
      <c r="AA55" s="78">
        <f t="shared" si="27"/>
        <v>11313146</v>
      </c>
      <c r="AB55" s="78">
        <f t="shared" si="28"/>
        <v>63984058</v>
      </c>
      <c r="AC55" s="40">
        <f t="shared" si="29"/>
        <v>0.8625280795880402</v>
      </c>
      <c r="AD55" s="77">
        <v>6158105</v>
      </c>
      <c r="AE55" s="78">
        <v>1447047</v>
      </c>
      <c r="AF55" s="78">
        <f t="shared" si="30"/>
        <v>7605152</v>
      </c>
      <c r="AG55" s="40">
        <f>IF(71290743=0,0,50301902/71290743)</f>
        <v>0.7055881294433978</v>
      </c>
      <c r="AH55" s="40">
        <f t="shared" si="31"/>
        <v>0.9031209369648365</v>
      </c>
      <c r="AI55" s="12">
        <v>63742000</v>
      </c>
      <c r="AJ55" s="12">
        <v>71290743</v>
      </c>
      <c r="AK55" s="12">
        <v>50301902</v>
      </c>
      <c r="AL55" s="12"/>
    </row>
    <row r="56" spans="1:38" s="13" customFormat="1" ht="12.75">
      <c r="A56" s="29" t="s">
        <v>96</v>
      </c>
      <c r="B56" s="60" t="s">
        <v>337</v>
      </c>
      <c r="C56" s="39" t="s">
        <v>338</v>
      </c>
      <c r="D56" s="77">
        <v>70496687</v>
      </c>
      <c r="E56" s="78">
        <v>16452000</v>
      </c>
      <c r="F56" s="79">
        <f t="shared" si="16"/>
        <v>86948687</v>
      </c>
      <c r="G56" s="77">
        <v>70496687</v>
      </c>
      <c r="H56" s="78">
        <v>16452000</v>
      </c>
      <c r="I56" s="79">
        <f t="shared" si="17"/>
        <v>86948687</v>
      </c>
      <c r="J56" s="77">
        <v>25590466</v>
      </c>
      <c r="K56" s="91">
        <v>3036927</v>
      </c>
      <c r="L56" s="78">
        <f t="shared" si="18"/>
        <v>28627393</v>
      </c>
      <c r="M56" s="40">
        <f t="shared" si="19"/>
        <v>0.3292446842814314</v>
      </c>
      <c r="N56" s="105">
        <v>18404182</v>
      </c>
      <c r="O56" s="106">
        <v>4170103</v>
      </c>
      <c r="P56" s="107">
        <f t="shared" si="20"/>
        <v>22574285</v>
      </c>
      <c r="Q56" s="40">
        <f t="shared" si="21"/>
        <v>0.25962766982323726</v>
      </c>
      <c r="R56" s="105">
        <v>5237684</v>
      </c>
      <c r="S56" s="107">
        <v>1449648</v>
      </c>
      <c r="T56" s="107">
        <f t="shared" si="22"/>
        <v>6687332</v>
      </c>
      <c r="U56" s="40">
        <f t="shared" si="23"/>
        <v>0.07691124766495899</v>
      </c>
      <c r="V56" s="105">
        <v>0</v>
      </c>
      <c r="W56" s="107">
        <v>0</v>
      </c>
      <c r="X56" s="107">
        <f t="shared" si="24"/>
        <v>0</v>
      </c>
      <c r="Y56" s="40">
        <f t="shared" si="25"/>
        <v>0</v>
      </c>
      <c r="Z56" s="77">
        <f t="shared" si="26"/>
        <v>49232332</v>
      </c>
      <c r="AA56" s="78">
        <f t="shared" si="27"/>
        <v>8656678</v>
      </c>
      <c r="AB56" s="78">
        <f t="shared" si="28"/>
        <v>57889010</v>
      </c>
      <c r="AC56" s="40">
        <f t="shared" si="29"/>
        <v>0.6657836017696277</v>
      </c>
      <c r="AD56" s="77">
        <v>10768509</v>
      </c>
      <c r="AE56" s="78">
        <v>2105175</v>
      </c>
      <c r="AF56" s="78">
        <f t="shared" si="30"/>
        <v>12873684</v>
      </c>
      <c r="AG56" s="40">
        <f>IF(71041052=0,0,50678683/71041052)</f>
        <v>0.7133717980415042</v>
      </c>
      <c r="AH56" s="40">
        <f t="shared" si="31"/>
        <v>-0.48054247719611576</v>
      </c>
      <c r="AI56" s="12">
        <v>70656468</v>
      </c>
      <c r="AJ56" s="12">
        <v>71041052</v>
      </c>
      <c r="AK56" s="12">
        <v>50678683</v>
      </c>
      <c r="AL56" s="12"/>
    </row>
    <row r="57" spans="1:38" s="13" customFormat="1" ht="12.75">
      <c r="A57" s="29" t="s">
        <v>96</v>
      </c>
      <c r="B57" s="60" t="s">
        <v>339</v>
      </c>
      <c r="C57" s="39" t="s">
        <v>340</v>
      </c>
      <c r="D57" s="77">
        <v>167360748</v>
      </c>
      <c r="E57" s="78">
        <v>48250000</v>
      </c>
      <c r="F57" s="79">
        <f t="shared" si="16"/>
        <v>215610748</v>
      </c>
      <c r="G57" s="77">
        <v>172009185</v>
      </c>
      <c r="H57" s="78">
        <v>42022278</v>
      </c>
      <c r="I57" s="79">
        <f t="shared" si="17"/>
        <v>214031463</v>
      </c>
      <c r="J57" s="77">
        <v>62436394</v>
      </c>
      <c r="K57" s="91">
        <v>1240003</v>
      </c>
      <c r="L57" s="78">
        <f t="shared" si="18"/>
        <v>63676397</v>
      </c>
      <c r="M57" s="40">
        <f t="shared" si="19"/>
        <v>0.29533034688975707</v>
      </c>
      <c r="N57" s="105">
        <v>54071610</v>
      </c>
      <c r="O57" s="106">
        <v>6851030</v>
      </c>
      <c r="P57" s="107">
        <f t="shared" si="20"/>
        <v>60922640</v>
      </c>
      <c r="Q57" s="40">
        <f t="shared" si="21"/>
        <v>0.2825584557593576</v>
      </c>
      <c r="R57" s="105">
        <v>42273791</v>
      </c>
      <c r="S57" s="107">
        <v>12869733</v>
      </c>
      <c r="T57" s="107">
        <f t="shared" si="22"/>
        <v>55143524</v>
      </c>
      <c r="U57" s="40">
        <f t="shared" si="23"/>
        <v>0.25764213927743884</v>
      </c>
      <c r="V57" s="105">
        <v>0</v>
      </c>
      <c r="W57" s="107">
        <v>0</v>
      </c>
      <c r="X57" s="107">
        <f t="shared" si="24"/>
        <v>0</v>
      </c>
      <c r="Y57" s="40">
        <f t="shared" si="25"/>
        <v>0</v>
      </c>
      <c r="Z57" s="77">
        <f t="shared" si="26"/>
        <v>158781795</v>
      </c>
      <c r="AA57" s="78">
        <f t="shared" si="27"/>
        <v>20960766</v>
      </c>
      <c r="AB57" s="78">
        <f t="shared" si="28"/>
        <v>179742561</v>
      </c>
      <c r="AC57" s="40">
        <f t="shared" si="29"/>
        <v>0.8397950398535565</v>
      </c>
      <c r="AD57" s="77">
        <v>30478507</v>
      </c>
      <c r="AE57" s="78">
        <v>7253855</v>
      </c>
      <c r="AF57" s="78">
        <f t="shared" si="30"/>
        <v>37732362</v>
      </c>
      <c r="AG57" s="40">
        <f>IF(164355823=0,0,136924152/164355823)</f>
        <v>0.8330958374380201</v>
      </c>
      <c r="AH57" s="40">
        <f t="shared" si="31"/>
        <v>0.4614384331412913</v>
      </c>
      <c r="AI57" s="12">
        <v>181762808</v>
      </c>
      <c r="AJ57" s="12">
        <v>164355823</v>
      </c>
      <c r="AK57" s="12">
        <v>136924152</v>
      </c>
      <c r="AL57" s="12"/>
    </row>
    <row r="58" spans="1:38" s="13" customFormat="1" ht="12.75">
      <c r="A58" s="29" t="s">
        <v>115</v>
      </c>
      <c r="B58" s="60" t="s">
        <v>341</v>
      </c>
      <c r="C58" s="39" t="s">
        <v>342</v>
      </c>
      <c r="D58" s="77">
        <v>366824000</v>
      </c>
      <c r="E58" s="78">
        <v>252173000</v>
      </c>
      <c r="F58" s="79">
        <f t="shared" si="16"/>
        <v>618997000</v>
      </c>
      <c r="G58" s="77">
        <v>373703836</v>
      </c>
      <c r="H58" s="78">
        <v>253371560</v>
      </c>
      <c r="I58" s="79">
        <f t="shared" si="17"/>
        <v>627075396</v>
      </c>
      <c r="J58" s="77">
        <v>125611780</v>
      </c>
      <c r="K58" s="91">
        <v>35277633</v>
      </c>
      <c r="L58" s="78">
        <f t="shared" si="18"/>
        <v>160889413</v>
      </c>
      <c r="M58" s="40">
        <f t="shared" si="19"/>
        <v>0.2599195359589788</v>
      </c>
      <c r="N58" s="105">
        <v>106955435</v>
      </c>
      <c r="O58" s="106">
        <v>24597478</v>
      </c>
      <c r="P58" s="107">
        <f t="shared" si="20"/>
        <v>131552913</v>
      </c>
      <c r="Q58" s="40">
        <f t="shared" si="21"/>
        <v>0.2125259298510332</v>
      </c>
      <c r="R58" s="105">
        <v>96561813</v>
      </c>
      <c r="S58" s="107">
        <v>17399823</v>
      </c>
      <c r="T58" s="107">
        <f t="shared" si="22"/>
        <v>113961636</v>
      </c>
      <c r="U58" s="40">
        <f t="shared" si="23"/>
        <v>0.18173514178189826</v>
      </c>
      <c r="V58" s="105">
        <v>0</v>
      </c>
      <c r="W58" s="107">
        <v>0</v>
      </c>
      <c r="X58" s="107">
        <f t="shared" si="24"/>
        <v>0</v>
      </c>
      <c r="Y58" s="40">
        <f t="shared" si="25"/>
        <v>0</v>
      </c>
      <c r="Z58" s="77">
        <f t="shared" si="26"/>
        <v>329129028</v>
      </c>
      <c r="AA58" s="78">
        <f t="shared" si="27"/>
        <v>77274934</v>
      </c>
      <c r="AB58" s="78">
        <f t="shared" si="28"/>
        <v>406403962</v>
      </c>
      <c r="AC58" s="40">
        <f t="shared" si="29"/>
        <v>0.648094255638759</v>
      </c>
      <c r="AD58" s="77">
        <v>68368593</v>
      </c>
      <c r="AE58" s="78">
        <v>18783850</v>
      </c>
      <c r="AF58" s="78">
        <f t="shared" si="30"/>
        <v>87152443</v>
      </c>
      <c r="AG58" s="40">
        <f>IF(475245688=0,0,339472619/475245688)</f>
        <v>0.7143097298338875</v>
      </c>
      <c r="AH58" s="40">
        <f t="shared" si="31"/>
        <v>0.30761263915459036</v>
      </c>
      <c r="AI58" s="12">
        <v>527235860</v>
      </c>
      <c r="AJ58" s="12">
        <v>475245688</v>
      </c>
      <c r="AK58" s="12">
        <v>339472619</v>
      </c>
      <c r="AL58" s="12"/>
    </row>
    <row r="59" spans="1:38" s="56" customFormat="1" ht="12.75">
      <c r="A59" s="61"/>
      <c r="B59" s="62" t="s">
        <v>343</v>
      </c>
      <c r="C59" s="32"/>
      <c r="D59" s="81">
        <f>SUM(D53:D58)</f>
        <v>1014838601</v>
      </c>
      <c r="E59" s="82">
        <f>SUM(E53:E58)</f>
        <v>479777064</v>
      </c>
      <c r="F59" s="83">
        <f t="shared" si="16"/>
        <v>1494615665</v>
      </c>
      <c r="G59" s="81">
        <f>SUM(G53:G58)</f>
        <v>1016694237</v>
      </c>
      <c r="H59" s="82">
        <f>SUM(H53:H58)</f>
        <v>484747538</v>
      </c>
      <c r="I59" s="90">
        <f t="shared" si="17"/>
        <v>1501441775</v>
      </c>
      <c r="J59" s="81">
        <f>SUM(J53:J58)</f>
        <v>379168340</v>
      </c>
      <c r="K59" s="92">
        <f>SUM(K53:K58)</f>
        <v>62715822</v>
      </c>
      <c r="L59" s="82">
        <f t="shared" si="18"/>
        <v>441884162</v>
      </c>
      <c r="M59" s="44">
        <f t="shared" si="19"/>
        <v>0.295650696261102</v>
      </c>
      <c r="N59" s="111">
        <f>SUM(N53:N58)</f>
        <v>295682488</v>
      </c>
      <c r="O59" s="112">
        <f>SUM(O53:O58)</f>
        <v>69011921</v>
      </c>
      <c r="P59" s="113">
        <f t="shared" si="20"/>
        <v>364694409</v>
      </c>
      <c r="Q59" s="44">
        <f t="shared" si="21"/>
        <v>0.24400547748842175</v>
      </c>
      <c r="R59" s="111">
        <f>SUM(R53:R58)</f>
        <v>197228605</v>
      </c>
      <c r="S59" s="113">
        <f>SUM(S53:S58)</f>
        <v>49340148</v>
      </c>
      <c r="T59" s="113">
        <f t="shared" si="22"/>
        <v>246568753</v>
      </c>
      <c r="U59" s="44">
        <f t="shared" si="23"/>
        <v>0.16422132186910812</v>
      </c>
      <c r="V59" s="111">
        <f>SUM(V53:V58)</f>
        <v>0</v>
      </c>
      <c r="W59" s="113">
        <f>SUM(W53:W58)</f>
        <v>0</v>
      </c>
      <c r="X59" s="113">
        <f t="shared" si="24"/>
        <v>0</v>
      </c>
      <c r="Y59" s="44">
        <f t="shared" si="25"/>
        <v>0</v>
      </c>
      <c r="Z59" s="81">
        <f t="shared" si="26"/>
        <v>872079433</v>
      </c>
      <c r="AA59" s="82">
        <f t="shared" si="27"/>
        <v>181067891</v>
      </c>
      <c r="AB59" s="82">
        <f t="shared" si="28"/>
        <v>1053147324</v>
      </c>
      <c r="AC59" s="44">
        <f t="shared" si="29"/>
        <v>0.7014240189234111</v>
      </c>
      <c r="AD59" s="81">
        <f>SUM(AD53:AD58)</f>
        <v>183299952</v>
      </c>
      <c r="AE59" s="82">
        <f>SUM(AE53:AE58)</f>
        <v>52086437</v>
      </c>
      <c r="AF59" s="82">
        <f t="shared" si="30"/>
        <v>235386389</v>
      </c>
      <c r="AG59" s="44">
        <f>IF(475245688=0,0,339472619/475245688)</f>
        <v>0.7143097298338875</v>
      </c>
      <c r="AH59" s="44">
        <f t="shared" si="31"/>
        <v>0.04750641720409754</v>
      </c>
      <c r="AI59" s="63">
        <f>SUM(AI53:AI58)</f>
        <v>1248407459</v>
      </c>
      <c r="AJ59" s="63">
        <f>SUM(AJ53:AJ58)</f>
        <v>1189271680</v>
      </c>
      <c r="AK59" s="63">
        <f>SUM(AK53:AK58)</f>
        <v>904028084</v>
      </c>
      <c r="AL59" s="63"/>
    </row>
    <row r="60" spans="1:38" s="13" customFormat="1" ht="12.75">
      <c r="A60" s="29" t="s">
        <v>96</v>
      </c>
      <c r="B60" s="60" t="s">
        <v>344</v>
      </c>
      <c r="C60" s="39" t="s">
        <v>345</v>
      </c>
      <c r="D60" s="77">
        <v>131617000</v>
      </c>
      <c r="E60" s="78">
        <v>63257000</v>
      </c>
      <c r="F60" s="79">
        <f t="shared" si="16"/>
        <v>194874000</v>
      </c>
      <c r="G60" s="77">
        <v>114618000</v>
      </c>
      <c r="H60" s="78">
        <v>46257319</v>
      </c>
      <c r="I60" s="79">
        <f t="shared" si="17"/>
        <v>160875319</v>
      </c>
      <c r="J60" s="77">
        <v>44932398</v>
      </c>
      <c r="K60" s="91">
        <v>6108349</v>
      </c>
      <c r="L60" s="78">
        <f t="shared" si="18"/>
        <v>51040747</v>
      </c>
      <c r="M60" s="40">
        <f t="shared" si="19"/>
        <v>0.2619166589693854</v>
      </c>
      <c r="N60" s="105">
        <v>40386830</v>
      </c>
      <c r="O60" s="106">
        <v>0</v>
      </c>
      <c r="P60" s="107">
        <f t="shared" si="20"/>
        <v>40386830</v>
      </c>
      <c r="Q60" s="40">
        <f t="shared" si="21"/>
        <v>0.20724586142841014</v>
      </c>
      <c r="R60" s="105">
        <v>33203552</v>
      </c>
      <c r="S60" s="107">
        <v>0</v>
      </c>
      <c r="T60" s="107">
        <f t="shared" si="22"/>
        <v>33203552</v>
      </c>
      <c r="U60" s="40">
        <f t="shared" si="23"/>
        <v>0.20639307636741966</v>
      </c>
      <c r="V60" s="105">
        <v>0</v>
      </c>
      <c r="W60" s="107">
        <v>0</v>
      </c>
      <c r="X60" s="107">
        <f t="shared" si="24"/>
        <v>0</v>
      </c>
      <c r="Y60" s="40">
        <f t="shared" si="25"/>
        <v>0</v>
      </c>
      <c r="Z60" s="77">
        <f t="shared" si="26"/>
        <v>118522780</v>
      </c>
      <c r="AA60" s="78">
        <f t="shared" si="27"/>
        <v>6108349</v>
      </c>
      <c r="AB60" s="78">
        <f t="shared" si="28"/>
        <v>124631129</v>
      </c>
      <c r="AC60" s="40">
        <f t="shared" si="29"/>
        <v>0.7747063364020431</v>
      </c>
      <c r="AD60" s="77">
        <v>21297076</v>
      </c>
      <c r="AE60" s="78">
        <v>39331918</v>
      </c>
      <c r="AF60" s="78">
        <f t="shared" si="30"/>
        <v>60628994</v>
      </c>
      <c r="AG60" s="40">
        <f>IF(163981000=0,0,137956458/163981000)</f>
        <v>0.8412953817820358</v>
      </c>
      <c r="AH60" s="40">
        <f t="shared" si="31"/>
        <v>-0.4523486238283947</v>
      </c>
      <c r="AI60" s="12">
        <v>164981000</v>
      </c>
      <c r="AJ60" s="12">
        <v>163981000</v>
      </c>
      <c r="AK60" s="12">
        <v>137956458</v>
      </c>
      <c r="AL60" s="12"/>
    </row>
    <row r="61" spans="1:38" s="13" customFormat="1" ht="12.75">
      <c r="A61" s="29" t="s">
        <v>96</v>
      </c>
      <c r="B61" s="60" t="s">
        <v>92</v>
      </c>
      <c r="C61" s="39" t="s">
        <v>93</v>
      </c>
      <c r="D61" s="77">
        <v>2524300900</v>
      </c>
      <c r="E61" s="78">
        <v>448780800</v>
      </c>
      <c r="F61" s="79">
        <f t="shared" si="16"/>
        <v>2973081700</v>
      </c>
      <c r="G61" s="77">
        <v>2462577400</v>
      </c>
      <c r="H61" s="78">
        <v>510260500</v>
      </c>
      <c r="I61" s="79">
        <f t="shared" si="17"/>
        <v>2972837900</v>
      </c>
      <c r="J61" s="77">
        <v>713617048</v>
      </c>
      <c r="K61" s="91">
        <v>35737340</v>
      </c>
      <c r="L61" s="78">
        <f t="shared" si="18"/>
        <v>749354388</v>
      </c>
      <c r="M61" s="40">
        <f t="shared" si="19"/>
        <v>0.2520463490794754</v>
      </c>
      <c r="N61" s="105">
        <v>522451641</v>
      </c>
      <c r="O61" s="106">
        <v>64063951</v>
      </c>
      <c r="P61" s="107">
        <f t="shared" si="20"/>
        <v>586515592</v>
      </c>
      <c r="Q61" s="40">
        <f t="shared" si="21"/>
        <v>0.19727530259259274</v>
      </c>
      <c r="R61" s="105">
        <v>671929465</v>
      </c>
      <c r="S61" s="107">
        <v>150412207</v>
      </c>
      <c r="T61" s="107">
        <f t="shared" si="22"/>
        <v>822341672</v>
      </c>
      <c r="U61" s="40">
        <f t="shared" si="23"/>
        <v>0.2766184029072019</v>
      </c>
      <c r="V61" s="105">
        <v>0</v>
      </c>
      <c r="W61" s="107">
        <v>0</v>
      </c>
      <c r="X61" s="107">
        <f t="shared" si="24"/>
        <v>0</v>
      </c>
      <c r="Y61" s="40">
        <f t="shared" si="25"/>
        <v>0</v>
      </c>
      <c r="Z61" s="77">
        <f t="shared" si="26"/>
        <v>1907998154</v>
      </c>
      <c r="AA61" s="78">
        <f t="shared" si="27"/>
        <v>250213498</v>
      </c>
      <c r="AB61" s="78">
        <f t="shared" si="28"/>
        <v>2158211652</v>
      </c>
      <c r="AC61" s="40">
        <f t="shared" si="29"/>
        <v>0.7259769030797139</v>
      </c>
      <c r="AD61" s="77">
        <v>619052720</v>
      </c>
      <c r="AE61" s="78">
        <v>64986658</v>
      </c>
      <c r="AF61" s="78">
        <f t="shared" si="30"/>
        <v>684039378</v>
      </c>
      <c r="AG61" s="40">
        <f>IF(2786847700=0,0,2037377184/2786847700)</f>
        <v>0.7310687211217176</v>
      </c>
      <c r="AH61" s="40">
        <f t="shared" si="31"/>
        <v>0.20218469644886428</v>
      </c>
      <c r="AI61" s="12">
        <v>2790420600</v>
      </c>
      <c r="AJ61" s="12">
        <v>2786847700</v>
      </c>
      <c r="AK61" s="12">
        <v>2037377184</v>
      </c>
      <c r="AL61" s="12"/>
    </row>
    <row r="62" spans="1:38" s="13" customFormat="1" ht="12.75">
      <c r="A62" s="29" t="s">
        <v>96</v>
      </c>
      <c r="B62" s="60" t="s">
        <v>346</v>
      </c>
      <c r="C62" s="39" t="s">
        <v>347</v>
      </c>
      <c r="D62" s="77">
        <v>67468954</v>
      </c>
      <c r="E62" s="78">
        <v>15366838</v>
      </c>
      <c r="F62" s="79">
        <f t="shared" si="16"/>
        <v>82835792</v>
      </c>
      <c r="G62" s="77">
        <v>67468954</v>
      </c>
      <c r="H62" s="78">
        <v>15366838</v>
      </c>
      <c r="I62" s="79">
        <f t="shared" si="17"/>
        <v>82835792</v>
      </c>
      <c r="J62" s="77">
        <v>29132833</v>
      </c>
      <c r="K62" s="91">
        <v>5578214</v>
      </c>
      <c r="L62" s="78">
        <f t="shared" si="18"/>
        <v>34711047</v>
      </c>
      <c r="M62" s="40">
        <f t="shared" si="19"/>
        <v>0.41903440725236263</v>
      </c>
      <c r="N62" s="105">
        <v>8205184</v>
      </c>
      <c r="O62" s="106">
        <v>1911440</v>
      </c>
      <c r="P62" s="107">
        <f t="shared" si="20"/>
        <v>10116624</v>
      </c>
      <c r="Q62" s="40">
        <f t="shared" si="21"/>
        <v>0.12212865665605033</v>
      </c>
      <c r="R62" s="105">
        <v>21465183</v>
      </c>
      <c r="S62" s="107">
        <v>7656741</v>
      </c>
      <c r="T62" s="107">
        <f t="shared" si="22"/>
        <v>29121924</v>
      </c>
      <c r="U62" s="40">
        <f t="shared" si="23"/>
        <v>0.35156208804039685</v>
      </c>
      <c r="V62" s="105">
        <v>0</v>
      </c>
      <c r="W62" s="107">
        <v>0</v>
      </c>
      <c r="X62" s="107">
        <f t="shared" si="24"/>
        <v>0</v>
      </c>
      <c r="Y62" s="40">
        <f t="shared" si="25"/>
        <v>0</v>
      </c>
      <c r="Z62" s="77">
        <f t="shared" si="26"/>
        <v>58803200</v>
      </c>
      <c r="AA62" s="78">
        <f t="shared" si="27"/>
        <v>15146395</v>
      </c>
      <c r="AB62" s="78">
        <f t="shared" si="28"/>
        <v>73949595</v>
      </c>
      <c r="AC62" s="40">
        <f t="shared" si="29"/>
        <v>0.8927251519488097</v>
      </c>
      <c r="AD62" s="77">
        <v>10944166</v>
      </c>
      <c r="AE62" s="78">
        <v>3790413</v>
      </c>
      <c r="AF62" s="78">
        <f t="shared" si="30"/>
        <v>14734579</v>
      </c>
      <c r="AG62" s="40">
        <f>IF(72907380=0,0,33618670/72907380)</f>
        <v>0.46111477329181216</v>
      </c>
      <c r="AH62" s="40">
        <f t="shared" si="31"/>
        <v>0.9764340738883683</v>
      </c>
      <c r="AI62" s="12">
        <v>62909813</v>
      </c>
      <c r="AJ62" s="12">
        <v>72907380</v>
      </c>
      <c r="AK62" s="12">
        <v>33618670</v>
      </c>
      <c r="AL62" s="12"/>
    </row>
    <row r="63" spans="1:38" s="13" customFormat="1" ht="12.75">
      <c r="A63" s="29" t="s">
        <v>96</v>
      </c>
      <c r="B63" s="60" t="s">
        <v>348</v>
      </c>
      <c r="C63" s="39" t="s">
        <v>349</v>
      </c>
      <c r="D63" s="77">
        <v>285813410</v>
      </c>
      <c r="E63" s="78">
        <v>72363900</v>
      </c>
      <c r="F63" s="79">
        <f t="shared" si="16"/>
        <v>358177310</v>
      </c>
      <c r="G63" s="77">
        <v>285813410</v>
      </c>
      <c r="H63" s="78">
        <v>79744790</v>
      </c>
      <c r="I63" s="79">
        <f t="shared" si="17"/>
        <v>365558200</v>
      </c>
      <c r="J63" s="77">
        <v>106722350</v>
      </c>
      <c r="K63" s="91">
        <v>8926029</v>
      </c>
      <c r="L63" s="78">
        <f t="shared" si="18"/>
        <v>115648379</v>
      </c>
      <c r="M63" s="40">
        <f t="shared" si="19"/>
        <v>0.32288024889125444</v>
      </c>
      <c r="N63" s="105">
        <v>67129646</v>
      </c>
      <c r="O63" s="106">
        <v>15637405</v>
      </c>
      <c r="P63" s="107">
        <f t="shared" si="20"/>
        <v>82767051</v>
      </c>
      <c r="Q63" s="40">
        <f t="shared" si="21"/>
        <v>0.23107843151761903</v>
      </c>
      <c r="R63" s="105">
        <v>75691595</v>
      </c>
      <c r="S63" s="107">
        <v>12314051</v>
      </c>
      <c r="T63" s="107">
        <f t="shared" si="22"/>
        <v>88005646</v>
      </c>
      <c r="U63" s="40">
        <f t="shared" si="23"/>
        <v>0.24074318672102007</v>
      </c>
      <c r="V63" s="105">
        <v>0</v>
      </c>
      <c r="W63" s="107">
        <v>0</v>
      </c>
      <c r="X63" s="107">
        <f t="shared" si="24"/>
        <v>0</v>
      </c>
      <c r="Y63" s="40">
        <f t="shared" si="25"/>
        <v>0</v>
      </c>
      <c r="Z63" s="77">
        <f t="shared" si="26"/>
        <v>249543591</v>
      </c>
      <c r="AA63" s="78">
        <f t="shared" si="27"/>
        <v>36877485</v>
      </c>
      <c r="AB63" s="78">
        <f t="shared" si="28"/>
        <v>286421076</v>
      </c>
      <c r="AC63" s="40">
        <f t="shared" si="29"/>
        <v>0.7835170323083985</v>
      </c>
      <c r="AD63" s="77">
        <v>42415285</v>
      </c>
      <c r="AE63" s="78">
        <v>11170415</v>
      </c>
      <c r="AF63" s="78">
        <f t="shared" si="30"/>
        <v>53585700</v>
      </c>
      <c r="AG63" s="40">
        <f>IF(337842650=0,0,235202776/337842650)</f>
        <v>0.6961903004253608</v>
      </c>
      <c r="AH63" s="40">
        <f t="shared" si="31"/>
        <v>0.6423345407450123</v>
      </c>
      <c r="AI63" s="12">
        <v>296553730</v>
      </c>
      <c r="AJ63" s="12">
        <v>337842650</v>
      </c>
      <c r="AK63" s="12">
        <v>235202776</v>
      </c>
      <c r="AL63" s="12"/>
    </row>
    <row r="64" spans="1:38" s="13" customFormat="1" ht="12.75">
      <c r="A64" s="29" t="s">
        <v>96</v>
      </c>
      <c r="B64" s="60" t="s">
        <v>350</v>
      </c>
      <c r="C64" s="39" t="s">
        <v>351</v>
      </c>
      <c r="D64" s="77">
        <v>113646500</v>
      </c>
      <c r="E64" s="78">
        <v>28956000</v>
      </c>
      <c r="F64" s="79">
        <f t="shared" si="16"/>
        <v>142602500</v>
      </c>
      <c r="G64" s="77">
        <v>113646500</v>
      </c>
      <c r="H64" s="78">
        <v>28956000</v>
      </c>
      <c r="I64" s="79">
        <f t="shared" si="17"/>
        <v>142602500</v>
      </c>
      <c r="J64" s="77">
        <v>27646830</v>
      </c>
      <c r="K64" s="91">
        <v>7507640</v>
      </c>
      <c r="L64" s="78">
        <f t="shared" si="18"/>
        <v>35154470</v>
      </c>
      <c r="M64" s="40">
        <f t="shared" si="19"/>
        <v>0.2465207131712277</v>
      </c>
      <c r="N64" s="105">
        <v>31761044</v>
      </c>
      <c r="O64" s="106">
        <v>17932578</v>
      </c>
      <c r="P64" s="107">
        <f t="shared" si="20"/>
        <v>49693622</v>
      </c>
      <c r="Q64" s="40">
        <f t="shared" si="21"/>
        <v>0.34847651338510893</v>
      </c>
      <c r="R64" s="105">
        <v>6199828</v>
      </c>
      <c r="S64" s="107">
        <v>4566145</v>
      </c>
      <c r="T64" s="107">
        <f t="shared" si="22"/>
        <v>10765973</v>
      </c>
      <c r="U64" s="40">
        <f t="shared" si="23"/>
        <v>0.07549638330323802</v>
      </c>
      <c r="V64" s="105">
        <v>0</v>
      </c>
      <c r="W64" s="107">
        <v>0</v>
      </c>
      <c r="X64" s="107">
        <f t="shared" si="24"/>
        <v>0</v>
      </c>
      <c r="Y64" s="40">
        <f t="shared" si="25"/>
        <v>0</v>
      </c>
      <c r="Z64" s="77">
        <f t="shared" si="26"/>
        <v>65607702</v>
      </c>
      <c r="AA64" s="78">
        <f t="shared" si="27"/>
        <v>30006363</v>
      </c>
      <c r="AB64" s="78">
        <f t="shared" si="28"/>
        <v>95614065</v>
      </c>
      <c r="AC64" s="40">
        <f t="shared" si="29"/>
        <v>0.6704936098595747</v>
      </c>
      <c r="AD64" s="77">
        <v>23478369</v>
      </c>
      <c r="AE64" s="78">
        <v>8903404</v>
      </c>
      <c r="AF64" s="78">
        <f t="shared" si="30"/>
        <v>32381773</v>
      </c>
      <c r="AG64" s="40">
        <f>IF(125088000=0,0,88834437/125088000)</f>
        <v>0.7101755324251727</v>
      </c>
      <c r="AH64" s="40">
        <f t="shared" si="31"/>
        <v>-0.66752984773255</v>
      </c>
      <c r="AI64" s="12">
        <v>109708158</v>
      </c>
      <c r="AJ64" s="12">
        <v>125088000</v>
      </c>
      <c r="AK64" s="12">
        <v>88834437</v>
      </c>
      <c r="AL64" s="12"/>
    </row>
    <row r="65" spans="1:38" s="13" customFormat="1" ht="12.75">
      <c r="A65" s="29" t="s">
        <v>96</v>
      </c>
      <c r="B65" s="60" t="s">
        <v>352</v>
      </c>
      <c r="C65" s="39" t="s">
        <v>353</v>
      </c>
      <c r="D65" s="77">
        <v>123815151</v>
      </c>
      <c r="E65" s="78">
        <v>60208000</v>
      </c>
      <c r="F65" s="79">
        <f t="shared" si="16"/>
        <v>184023151</v>
      </c>
      <c r="G65" s="77">
        <v>40064000</v>
      </c>
      <c r="H65" s="78">
        <v>57588000</v>
      </c>
      <c r="I65" s="79">
        <f t="shared" si="17"/>
        <v>97652000</v>
      </c>
      <c r="J65" s="77">
        <v>9437200</v>
      </c>
      <c r="K65" s="91">
        <v>12747932</v>
      </c>
      <c r="L65" s="78">
        <f t="shared" si="18"/>
        <v>22185132</v>
      </c>
      <c r="M65" s="40">
        <f t="shared" si="19"/>
        <v>0.1205562011053707</v>
      </c>
      <c r="N65" s="105">
        <v>43048744</v>
      </c>
      <c r="O65" s="106">
        <v>11598045</v>
      </c>
      <c r="P65" s="107">
        <f t="shared" si="20"/>
        <v>54646789</v>
      </c>
      <c r="Q65" s="40">
        <f t="shared" si="21"/>
        <v>0.2969560552737193</v>
      </c>
      <c r="R65" s="105">
        <v>27663656</v>
      </c>
      <c r="S65" s="107">
        <v>18640765</v>
      </c>
      <c r="T65" s="107">
        <f t="shared" si="22"/>
        <v>46304421</v>
      </c>
      <c r="U65" s="40">
        <f t="shared" si="23"/>
        <v>0.47417790726252407</v>
      </c>
      <c r="V65" s="105">
        <v>0</v>
      </c>
      <c r="W65" s="107">
        <v>0</v>
      </c>
      <c r="X65" s="107">
        <f t="shared" si="24"/>
        <v>0</v>
      </c>
      <c r="Y65" s="40">
        <f t="shared" si="25"/>
        <v>0</v>
      </c>
      <c r="Z65" s="77">
        <f t="shared" si="26"/>
        <v>80149600</v>
      </c>
      <c r="AA65" s="78">
        <f t="shared" si="27"/>
        <v>42986742</v>
      </c>
      <c r="AB65" s="78">
        <f t="shared" si="28"/>
        <v>123136342</v>
      </c>
      <c r="AC65" s="40">
        <f t="shared" si="29"/>
        <v>1.2609710195387702</v>
      </c>
      <c r="AD65" s="77">
        <v>22821793</v>
      </c>
      <c r="AE65" s="78">
        <v>3650505</v>
      </c>
      <c r="AF65" s="78">
        <f t="shared" si="30"/>
        <v>26472298</v>
      </c>
      <c r="AG65" s="40">
        <f>IF(136257000=0,0,91113535/136257000)</f>
        <v>0.668688838004653</v>
      </c>
      <c r="AH65" s="40">
        <f t="shared" si="31"/>
        <v>0.7491651461463602</v>
      </c>
      <c r="AI65" s="12">
        <v>131621600</v>
      </c>
      <c r="AJ65" s="12">
        <v>136257000</v>
      </c>
      <c r="AK65" s="12">
        <v>91113535</v>
      </c>
      <c r="AL65" s="12"/>
    </row>
    <row r="66" spans="1:38" s="13" customFormat="1" ht="12.75">
      <c r="A66" s="29" t="s">
        <v>115</v>
      </c>
      <c r="B66" s="60" t="s">
        <v>354</v>
      </c>
      <c r="C66" s="39" t="s">
        <v>355</v>
      </c>
      <c r="D66" s="77">
        <v>619400413</v>
      </c>
      <c r="E66" s="78">
        <v>512244979</v>
      </c>
      <c r="F66" s="79">
        <f t="shared" si="16"/>
        <v>1131645392</v>
      </c>
      <c r="G66" s="77">
        <v>657057865</v>
      </c>
      <c r="H66" s="78">
        <v>549902434</v>
      </c>
      <c r="I66" s="79">
        <f t="shared" si="17"/>
        <v>1206960299</v>
      </c>
      <c r="J66" s="77">
        <v>222726434</v>
      </c>
      <c r="K66" s="91">
        <v>29536679</v>
      </c>
      <c r="L66" s="78">
        <f t="shared" si="18"/>
        <v>252263113</v>
      </c>
      <c r="M66" s="40">
        <f t="shared" si="19"/>
        <v>0.22291710352318564</v>
      </c>
      <c r="N66" s="105">
        <v>200298422</v>
      </c>
      <c r="O66" s="106">
        <v>86264746</v>
      </c>
      <c r="P66" s="107">
        <f t="shared" si="20"/>
        <v>286563168</v>
      </c>
      <c r="Q66" s="40">
        <f t="shared" si="21"/>
        <v>0.2532270002827882</v>
      </c>
      <c r="R66" s="105">
        <v>158687419</v>
      </c>
      <c r="S66" s="107">
        <v>92607573</v>
      </c>
      <c r="T66" s="107">
        <f t="shared" si="22"/>
        <v>251294992</v>
      </c>
      <c r="U66" s="40">
        <f t="shared" si="23"/>
        <v>0.20820485330644667</v>
      </c>
      <c r="V66" s="105">
        <v>0</v>
      </c>
      <c r="W66" s="107">
        <v>0</v>
      </c>
      <c r="X66" s="107">
        <f t="shared" si="24"/>
        <v>0</v>
      </c>
      <c r="Y66" s="40">
        <f t="shared" si="25"/>
        <v>0</v>
      </c>
      <c r="Z66" s="77">
        <f t="shared" si="26"/>
        <v>581712275</v>
      </c>
      <c r="AA66" s="78">
        <f t="shared" si="27"/>
        <v>208408998</v>
      </c>
      <c r="AB66" s="78">
        <f t="shared" si="28"/>
        <v>790121273</v>
      </c>
      <c r="AC66" s="40">
        <f t="shared" si="29"/>
        <v>0.6546373345126906</v>
      </c>
      <c r="AD66" s="77">
        <v>138442190</v>
      </c>
      <c r="AE66" s="78">
        <v>41251924</v>
      </c>
      <c r="AF66" s="78">
        <f t="shared" si="30"/>
        <v>179694114</v>
      </c>
      <c r="AG66" s="40">
        <f>IF(1088055262=0,0,597305615/1088055262)</f>
        <v>0.548966248186758</v>
      </c>
      <c r="AH66" s="40">
        <f t="shared" si="31"/>
        <v>0.398459784831906</v>
      </c>
      <c r="AI66" s="12">
        <v>950561412</v>
      </c>
      <c r="AJ66" s="12">
        <v>1088055262</v>
      </c>
      <c r="AK66" s="12">
        <v>597305615</v>
      </c>
      <c r="AL66" s="12"/>
    </row>
    <row r="67" spans="1:38" s="56" customFormat="1" ht="12.75">
      <c r="A67" s="61"/>
      <c r="B67" s="62" t="s">
        <v>356</v>
      </c>
      <c r="C67" s="32"/>
      <c r="D67" s="81">
        <f>SUM(D60:D66)</f>
        <v>3866062328</v>
      </c>
      <c r="E67" s="82">
        <f>SUM(E60:E66)</f>
        <v>1201177517</v>
      </c>
      <c r="F67" s="90">
        <f t="shared" si="16"/>
        <v>5067239845</v>
      </c>
      <c r="G67" s="81">
        <f>SUM(G60:G66)</f>
        <v>3741246129</v>
      </c>
      <c r="H67" s="82">
        <f>SUM(H60:H66)</f>
        <v>1288075881</v>
      </c>
      <c r="I67" s="90">
        <f t="shared" si="17"/>
        <v>5029322010</v>
      </c>
      <c r="J67" s="81">
        <f>SUM(J60:J66)</f>
        <v>1154215093</v>
      </c>
      <c r="K67" s="92">
        <f>SUM(K60:K66)</f>
        <v>106142183</v>
      </c>
      <c r="L67" s="82">
        <f t="shared" si="18"/>
        <v>1260357276</v>
      </c>
      <c r="M67" s="44">
        <f t="shared" si="19"/>
        <v>0.24872658775834994</v>
      </c>
      <c r="N67" s="111">
        <f>SUM(N60:N66)</f>
        <v>913281511</v>
      </c>
      <c r="O67" s="112">
        <f>SUM(O60:O66)</f>
        <v>197408165</v>
      </c>
      <c r="P67" s="113">
        <f t="shared" si="20"/>
        <v>1110689676</v>
      </c>
      <c r="Q67" s="44">
        <f t="shared" si="21"/>
        <v>0.2191902712274319</v>
      </c>
      <c r="R67" s="111">
        <f>SUM(R60:R66)</f>
        <v>994840698</v>
      </c>
      <c r="S67" s="113">
        <f>SUM(S60:S66)</f>
        <v>286197482</v>
      </c>
      <c r="T67" s="113">
        <f t="shared" si="22"/>
        <v>1281038180</v>
      </c>
      <c r="U67" s="44">
        <f t="shared" si="23"/>
        <v>0.2547138913461618</v>
      </c>
      <c r="V67" s="111">
        <f>SUM(V60:V66)</f>
        <v>0</v>
      </c>
      <c r="W67" s="113">
        <f>SUM(W60:W66)</f>
        <v>0</v>
      </c>
      <c r="X67" s="113">
        <f t="shared" si="24"/>
        <v>0</v>
      </c>
      <c r="Y67" s="44">
        <f t="shared" si="25"/>
        <v>0</v>
      </c>
      <c r="Z67" s="81">
        <f t="shared" si="26"/>
        <v>3062337302</v>
      </c>
      <c r="AA67" s="82">
        <f t="shared" si="27"/>
        <v>589747830</v>
      </c>
      <c r="AB67" s="82">
        <f t="shared" si="28"/>
        <v>3652085132</v>
      </c>
      <c r="AC67" s="44">
        <f t="shared" si="29"/>
        <v>0.7261585408010095</v>
      </c>
      <c r="AD67" s="81">
        <f>SUM(AD60:AD66)</f>
        <v>878451599</v>
      </c>
      <c r="AE67" s="82">
        <f>SUM(AE60:AE66)</f>
        <v>173085237</v>
      </c>
      <c r="AF67" s="82">
        <f t="shared" si="30"/>
        <v>1051536836</v>
      </c>
      <c r="AG67" s="44">
        <f>IF(1088055262=0,0,597305615/1088055262)</f>
        <v>0.548966248186758</v>
      </c>
      <c r="AH67" s="44">
        <f t="shared" si="31"/>
        <v>0.218253261457785</v>
      </c>
      <c r="AI67" s="63">
        <f>SUM(AI60:AI66)</f>
        <v>4506756313</v>
      </c>
      <c r="AJ67" s="63">
        <f>SUM(AJ60:AJ66)</f>
        <v>4710978992</v>
      </c>
      <c r="AK67" s="63">
        <f>SUM(AK60:AK66)</f>
        <v>3221408675</v>
      </c>
      <c r="AL67" s="63"/>
    </row>
    <row r="68" spans="1:38" s="13" customFormat="1" ht="12.75">
      <c r="A68" s="29" t="s">
        <v>96</v>
      </c>
      <c r="B68" s="60" t="s">
        <v>357</v>
      </c>
      <c r="C68" s="39" t="s">
        <v>358</v>
      </c>
      <c r="D68" s="77">
        <v>202807001</v>
      </c>
      <c r="E68" s="78">
        <v>82112000</v>
      </c>
      <c r="F68" s="79">
        <f t="shared" si="16"/>
        <v>284919001</v>
      </c>
      <c r="G68" s="77">
        <v>203307001</v>
      </c>
      <c r="H68" s="78">
        <v>64719000</v>
      </c>
      <c r="I68" s="79">
        <f t="shared" si="17"/>
        <v>268026001</v>
      </c>
      <c r="J68" s="77">
        <v>61548923</v>
      </c>
      <c r="K68" s="91">
        <v>6558301</v>
      </c>
      <c r="L68" s="78">
        <f t="shared" si="18"/>
        <v>68107224</v>
      </c>
      <c r="M68" s="40">
        <f t="shared" si="19"/>
        <v>0.23904065282048353</v>
      </c>
      <c r="N68" s="105">
        <v>76773059</v>
      </c>
      <c r="O68" s="106">
        <v>12900888</v>
      </c>
      <c r="P68" s="107">
        <f t="shared" si="20"/>
        <v>89673947</v>
      </c>
      <c r="Q68" s="40">
        <f t="shared" si="21"/>
        <v>0.3147348779311493</v>
      </c>
      <c r="R68" s="105">
        <v>51081705</v>
      </c>
      <c r="S68" s="107">
        <v>9833609</v>
      </c>
      <c r="T68" s="107">
        <f t="shared" si="22"/>
        <v>60915314</v>
      </c>
      <c r="U68" s="40">
        <f t="shared" si="23"/>
        <v>0.22727389795290792</v>
      </c>
      <c r="V68" s="105">
        <v>0</v>
      </c>
      <c r="W68" s="107">
        <v>0</v>
      </c>
      <c r="X68" s="107">
        <f t="shared" si="24"/>
        <v>0</v>
      </c>
      <c r="Y68" s="40">
        <f t="shared" si="25"/>
        <v>0</v>
      </c>
      <c r="Z68" s="77">
        <f t="shared" si="26"/>
        <v>189403687</v>
      </c>
      <c r="AA68" s="78">
        <f t="shared" si="27"/>
        <v>29292798</v>
      </c>
      <c r="AB68" s="78">
        <f t="shared" si="28"/>
        <v>218696485</v>
      </c>
      <c r="AC68" s="40">
        <f t="shared" si="29"/>
        <v>0.815952497832477</v>
      </c>
      <c r="AD68" s="77">
        <v>46765442</v>
      </c>
      <c r="AE68" s="78">
        <v>10966669</v>
      </c>
      <c r="AF68" s="78">
        <f t="shared" si="30"/>
        <v>57732111</v>
      </c>
      <c r="AG68" s="40">
        <f>IF(249788887=0,0,195019577/249788887)</f>
        <v>0.7807376034306922</v>
      </c>
      <c r="AH68" s="40">
        <f t="shared" si="31"/>
        <v>0.055137477997296847</v>
      </c>
      <c r="AI68" s="12">
        <v>242895337</v>
      </c>
      <c r="AJ68" s="12">
        <v>249788887</v>
      </c>
      <c r="AK68" s="12">
        <v>195019577</v>
      </c>
      <c r="AL68" s="12"/>
    </row>
    <row r="69" spans="1:38" s="13" customFormat="1" ht="12.75">
      <c r="A69" s="29" t="s">
        <v>96</v>
      </c>
      <c r="B69" s="60" t="s">
        <v>359</v>
      </c>
      <c r="C69" s="39" t="s">
        <v>360</v>
      </c>
      <c r="D69" s="77">
        <v>1263206391</v>
      </c>
      <c r="E69" s="78">
        <v>375343940</v>
      </c>
      <c r="F69" s="79">
        <f t="shared" si="16"/>
        <v>1638550331</v>
      </c>
      <c r="G69" s="77">
        <v>1273090766</v>
      </c>
      <c r="H69" s="78">
        <v>359370374</v>
      </c>
      <c r="I69" s="79">
        <f t="shared" si="17"/>
        <v>1632461140</v>
      </c>
      <c r="J69" s="77">
        <v>300649408</v>
      </c>
      <c r="K69" s="91">
        <v>20726538</v>
      </c>
      <c r="L69" s="78">
        <f t="shared" si="18"/>
        <v>321375946</v>
      </c>
      <c r="M69" s="40">
        <f t="shared" si="19"/>
        <v>0.19613431453391222</v>
      </c>
      <c r="N69" s="105">
        <v>302944221</v>
      </c>
      <c r="O69" s="106">
        <v>70101604</v>
      </c>
      <c r="P69" s="107">
        <f t="shared" si="20"/>
        <v>373045825</v>
      </c>
      <c r="Q69" s="40">
        <f t="shared" si="21"/>
        <v>0.22766821253048222</v>
      </c>
      <c r="R69" s="105">
        <v>333608489</v>
      </c>
      <c r="S69" s="107">
        <v>60185588</v>
      </c>
      <c r="T69" s="107">
        <f t="shared" si="22"/>
        <v>393794077</v>
      </c>
      <c r="U69" s="40">
        <f t="shared" si="23"/>
        <v>0.24122722884539843</v>
      </c>
      <c r="V69" s="105">
        <v>0</v>
      </c>
      <c r="W69" s="107">
        <v>0</v>
      </c>
      <c r="X69" s="107">
        <f t="shared" si="24"/>
        <v>0</v>
      </c>
      <c r="Y69" s="40">
        <f t="shared" si="25"/>
        <v>0</v>
      </c>
      <c r="Z69" s="77">
        <f t="shared" si="26"/>
        <v>937202118</v>
      </c>
      <c r="AA69" s="78">
        <f t="shared" si="27"/>
        <v>151013730</v>
      </c>
      <c r="AB69" s="78">
        <f t="shared" si="28"/>
        <v>1088215848</v>
      </c>
      <c r="AC69" s="40">
        <f t="shared" si="29"/>
        <v>0.6666105681388532</v>
      </c>
      <c r="AD69" s="77">
        <v>303032220</v>
      </c>
      <c r="AE69" s="78">
        <v>36320259</v>
      </c>
      <c r="AF69" s="78">
        <f t="shared" si="30"/>
        <v>339352479</v>
      </c>
      <c r="AG69" s="40">
        <f>IF(1583996502=0,0,987131280/1583996502)</f>
        <v>0.6231903156058863</v>
      </c>
      <c r="AH69" s="40">
        <f t="shared" si="31"/>
        <v>0.160427877705293</v>
      </c>
      <c r="AI69" s="12">
        <v>1578839788</v>
      </c>
      <c r="AJ69" s="12">
        <v>1583996502</v>
      </c>
      <c r="AK69" s="12">
        <v>987131280</v>
      </c>
      <c r="AL69" s="12"/>
    </row>
    <row r="70" spans="1:38" s="13" customFormat="1" ht="12.75">
      <c r="A70" s="29" t="s">
        <v>96</v>
      </c>
      <c r="B70" s="60" t="s">
        <v>361</v>
      </c>
      <c r="C70" s="39" t="s">
        <v>362</v>
      </c>
      <c r="D70" s="77">
        <v>125402373</v>
      </c>
      <c r="E70" s="78">
        <v>61927000</v>
      </c>
      <c r="F70" s="79">
        <f t="shared" si="16"/>
        <v>187329373</v>
      </c>
      <c r="G70" s="77">
        <v>127172390</v>
      </c>
      <c r="H70" s="78">
        <v>64667000</v>
      </c>
      <c r="I70" s="79">
        <f t="shared" si="17"/>
        <v>191839390</v>
      </c>
      <c r="J70" s="77">
        <v>51308905</v>
      </c>
      <c r="K70" s="91">
        <v>8929038</v>
      </c>
      <c r="L70" s="78">
        <f t="shared" si="18"/>
        <v>60237943</v>
      </c>
      <c r="M70" s="40">
        <f t="shared" si="19"/>
        <v>0.3215616538683445</v>
      </c>
      <c r="N70" s="105">
        <v>28702479</v>
      </c>
      <c r="O70" s="106">
        <v>9443959</v>
      </c>
      <c r="P70" s="107">
        <f t="shared" si="20"/>
        <v>38146438</v>
      </c>
      <c r="Q70" s="40">
        <f t="shared" si="21"/>
        <v>0.20363297751495704</v>
      </c>
      <c r="R70" s="105">
        <v>45399064</v>
      </c>
      <c r="S70" s="107">
        <v>12435088</v>
      </c>
      <c r="T70" s="107">
        <f t="shared" si="22"/>
        <v>57834152</v>
      </c>
      <c r="U70" s="40">
        <f t="shared" si="23"/>
        <v>0.3014717259057173</v>
      </c>
      <c r="V70" s="105">
        <v>0</v>
      </c>
      <c r="W70" s="107">
        <v>0</v>
      </c>
      <c r="X70" s="107">
        <f t="shared" si="24"/>
        <v>0</v>
      </c>
      <c r="Y70" s="40">
        <f t="shared" si="25"/>
        <v>0</v>
      </c>
      <c r="Z70" s="77">
        <f t="shared" si="26"/>
        <v>125410448</v>
      </c>
      <c r="AA70" s="78">
        <f t="shared" si="27"/>
        <v>30808085</v>
      </c>
      <c r="AB70" s="78">
        <f t="shared" si="28"/>
        <v>156218533</v>
      </c>
      <c r="AC70" s="40">
        <f t="shared" si="29"/>
        <v>0.8143193793516545</v>
      </c>
      <c r="AD70" s="77">
        <v>27306610</v>
      </c>
      <c r="AE70" s="78">
        <v>25131259</v>
      </c>
      <c r="AF70" s="78">
        <f t="shared" si="30"/>
        <v>52437869</v>
      </c>
      <c r="AG70" s="40">
        <f>IF(206954594=0,0,143234092/206954594)</f>
        <v>0.6921039501060798</v>
      </c>
      <c r="AH70" s="40">
        <f t="shared" si="31"/>
        <v>0.1029081292376699</v>
      </c>
      <c r="AI70" s="12">
        <v>155886231</v>
      </c>
      <c r="AJ70" s="12">
        <v>206954594</v>
      </c>
      <c r="AK70" s="12">
        <v>143234092</v>
      </c>
      <c r="AL70" s="12"/>
    </row>
    <row r="71" spans="1:38" s="13" customFormat="1" ht="12.75">
      <c r="A71" s="29" t="s">
        <v>96</v>
      </c>
      <c r="B71" s="60" t="s">
        <v>363</v>
      </c>
      <c r="C71" s="39" t="s">
        <v>364</v>
      </c>
      <c r="D71" s="77">
        <v>100796312</v>
      </c>
      <c r="E71" s="78">
        <v>39330000</v>
      </c>
      <c r="F71" s="79">
        <f t="shared" si="16"/>
        <v>140126312</v>
      </c>
      <c r="G71" s="77">
        <v>108217401</v>
      </c>
      <c r="H71" s="78">
        <v>32364860</v>
      </c>
      <c r="I71" s="79">
        <f t="shared" si="17"/>
        <v>140582261</v>
      </c>
      <c r="J71" s="77">
        <v>36298954</v>
      </c>
      <c r="K71" s="91">
        <v>4202698</v>
      </c>
      <c r="L71" s="78">
        <f t="shared" si="18"/>
        <v>40501652</v>
      </c>
      <c r="M71" s="40">
        <f t="shared" si="19"/>
        <v>0.2890367370833252</v>
      </c>
      <c r="N71" s="105">
        <v>36921276</v>
      </c>
      <c r="O71" s="106">
        <v>7303035</v>
      </c>
      <c r="P71" s="107">
        <f t="shared" si="20"/>
        <v>44224311</v>
      </c>
      <c r="Q71" s="40">
        <f t="shared" si="21"/>
        <v>0.3156031894994853</v>
      </c>
      <c r="R71" s="105">
        <v>24600129</v>
      </c>
      <c r="S71" s="107">
        <v>5553738</v>
      </c>
      <c r="T71" s="107">
        <f t="shared" si="22"/>
        <v>30153867</v>
      </c>
      <c r="U71" s="40">
        <f t="shared" si="23"/>
        <v>0.21449268766562232</v>
      </c>
      <c r="V71" s="105">
        <v>0</v>
      </c>
      <c r="W71" s="107">
        <v>0</v>
      </c>
      <c r="X71" s="107">
        <f t="shared" si="24"/>
        <v>0</v>
      </c>
      <c r="Y71" s="40">
        <f t="shared" si="25"/>
        <v>0</v>
      </c>
      <c r="Z71" s="77">
        <f t="shared" si="26"/>
        <v>97820359</v>
      </c>
      <c r="AA71" s="78">
        <f t="shared" si="27"/>
        <v>17059471</v>
      </c>
      <c r="AB71" s="78">
        <f t="shared" si="28"/>
        <v>114879830</v>
      </c>
      <c r="AC71" s="40">
        <f t="shared" si="29"/>
        <v>0.8171715917984844</v>
      </c>
      <c r="AD71" s="77">
        <v>19701900</v>
      </c>
      <c r="AE71" s="78">
        <v>3468098</v>
      </c>
      <c r="AF71" s="78">
        <f t="shared" si="30"/>
        <v>23169998</v>
      </c>
      <c r="AG71" s="40">
        <f>IF(135056099=0,0,72466964/135056099)</f>
        <v>0.536569355523885</v>
      </c>
      <c r="AH71" s="40">
        <f t="shared" si="31"/>
        <v>0.30141862765806016</v>
      </c>
      <c r="AI71" s="12">
        <v>121953686</v>
      </c>
      <c r="AJ71" s="12">
        <v>135056099</v>
      </c>
      <c r="AK71" s="12">
        <v>72466964</v>
      </c>
      <c r="AL71" s="12"/>
    </row>
    <row r="72" spans="1:38" s="13" customFormat="1" ht="12.75">
      <c r="A72" s="29" t="s">
        <v>115</v>
      </c>
      <c r="B72" s="60" t="s">
        <v>365</v>
      </c>
      <c r="C72" s="39" t="s">
        <v>366</v>
      </c>
      <c r="D72" s="77">
        <v>593167371</v>
      </c>
      <c r="E72" s="78">
        <v>424486735</v>
      </c>
      <c r="F72" s="79">
        <f t="shared" si="16"/>
        <v>1017654106</v>
      </c>
      <c r="G72" s="77">
        <v>664303822</v>
      </c>
      <c r="H72" s="78">
        <v>452944320</v>
      </c>
      <c r="I72" s="79">
        <f t="shared" si="17"/>
        <v>1117248142</v>
      </c>
      <c r="J72" s="77">
        <v>196470358</v>
      </c>
      <c r="K72" s="91">
        <v>53346913</v>
      </c>
      <c r="L72" s="78">
        <f t="shared" si="18"/>
        <v>249817271</v>
      </c>
      <c r="M72" s="40">
        <f t="shared" si="19"/>
        <v>0.2454834796293742</v>
      </c>
      <c r="N72" s="105">
        <v>174232262</v>
      </c>
      <c r="O72" s="106">
        <v>106060718</v>
      </c>
      <c r="P72" s="107">
        <f t="shared" si="20"/>
        <v>280292980</v>
      </c>
      <c r="Q72" s="40">
        <f t="shared" si="21"/>
        <v>0.2754305007442283</v>
      </c>
      <c r="R72" s="105">
        <v>145183676</v>
      </c>
      <c r="S72" s="107">
        <v>125076353</v>
      </c>
      <c r="T72" s="107">
        <f t="shared" si="22"/>
        <v>270260029</v>
      </c>
      <c r="U72" s="40">
        <f t="shared" si="23"/>
        <v>0.2418979444586089</v>
      </c>
      <c r="V72" s="105">
        <v>0</v>
      </c>
      <c r="W72" s="107">
        <v>0</v>
      </c>
      <c r="X72" s="107">
        <f t="shared" si="24"/>
        <v>0</v>
      </c>
      <c r="Y72" s="40">
        <f t="shared" si="25"/>
        <v>0</v>
      </c>
      <c r="Z72" s="77">
        <f t="shared" si="26"/>
        <v>515886296</v>
      </c>
      <c r="AA72" s="78">
        <f t="shared" si="27"/>
        <v>284483984</v>
      </c>
      <c r="AB72" s="78">
        <f t="shared" si="28"/>
        <v>800370280</v>
      </c>
      <c r="AC72" s="40">
        <f t="shared" si="29"/>
        <v>0.7163764699283787</v>
      </c>
      <c r="AD72" s="77">
        <v>136905045</v>
      </c>
      <c r="AE72" s="78">
        <v>93296509</v>
      </c>
      <c r="AF72" s="78">
        <f t="shared" si="30"/>
        <v>230201554</v>
      </c>
      <c r="AG72" s="40">
        <f>IF(924105008=0,0,679875659/924105008)</f>
        <v>0.7357125576793757</v>
      </c>
      <c r="AH72" s="40">
        <f t="shared" si="31"/>
        <v>0.17401478966558148</v>
      </c>
      <c r="AI72" s="12">
        <v>964638828</v>
      </c>
      <c r="AJ72" s="12">
        <v>924105008</v>
      </c>
      <c r="AK72" s="12">
        <v>679875659</v>
      </c>
      <c r="AL72" s="12"/>
    </row>
    <row r="73" spans="1:38" s="56" customFormat="1" ht="12.75">
      <c r="A73" s="61"/>
      <c r="B73" s="62" t="s">
        <v>367</v>
      </c>
      <c r="C73" s="32"/>
      <c r="D73" s="81">
        <f>SUM(D68:D72)</f>
        <v>2285379448</v>
      </c>
      <c r="E73" s="82">
        <f>SUM(E68:E72)</f>
        <v>983199675</v>
      </c>
      <c r="F73" s="90">
        <f t="shared" si="16"/>
        <v>3268579123</v>
      </c>
      <c r="G73" s="81">
        <f>SUM(G68:G72)</f>
        <v>2376091380</v>
      </c>
      <c r="H73" s="82">
        <f>SUM(H68:H72)</f>
        <v>974065554</v>
      </c>
      <c r="I73" s="90">
        <f t="shared" si="17"/>
        <v>3350156934</v>
      </c>
      <c r="J73" s="81">
        <f>SUM(J68:J72)</f>
        <v>646276548</v>
      </c>
      <c r="K73" s="92">
        <f>SUM(K68:K72)</f>
        <v>93763488</v>
      </c>
      <c r="L73" s="82">
        <f t="shared" si="18"/>
        <v>740040036</v>
      </c>
      <c r="M73" s="44">
        <f t="shared" si="19"/>
        <v>0.2264103171902931</v>
      </c>
      <c r="N73" s="111">
        <f>SUM(N68:N72)</f>
        <v>619573297</v>
      </c>
      <c r="O73" s="112">
        <f>SUM(O68:O72)</f>
        <v>205810204</v>
      </c>
      <c r="P73" s="113">
        <f t="shared" si="20"/>
        <v>825383501</v>
      </c>
      <c r="Q73" s="44">
        <f t="shared" si="21"/>
        <v>0.2525205815554614</v>
      </c>
      <c r="R73" s="111">
        <f>SUM(R68:R72)</f>
        <v>599873063</v>
      </c>
      <c r="S73" s="113">
        <f>SUM(S68:S72)</f>
        <v>213084376</v>
      </c>
      <c r="T73" s="113">
        <f t="shared" si="22"/>
        <v>812957439</v>
      </c>
      <c r="U73" s="44">
        <f t="shared" si="23"/>
        <v>0.24266249462808</v>
      </c>
      <c r="V73" s="111">
        <f>SUM(V68:V72)</f>
        <v>0</v>
      </c>
      <c r="W73" s="113">
        <f>SUM(W68:W72)</f>
        <v>0</v>
      </c>
      <c r="X73" s="113">
        <f t="shared" si="24"/>
        <v>0</v>
      </c>
      <c r="Y73" s="44">
        <f t="shared" si="25"/>
        <v>0</v>
      </c>
      <c r="Z73" s="81">
        <f t="shared" si="26"/>
        <v>1865722908</v>
      </c>
      <c r="AA73" s="82">
        <f t="shared" si="27"/>
        <v>512658068</v>
      </c>
      <c r="AB73" s="82">
        <f t="shared" si="28"/>
        <v>2378380976</v>
      </c>
      <c r="AC73" s="44">
        <f t="shared" si="29"/>
        <v>0.7099312130313475</v>
      </c>
      <c r="AD73" s="81">
        <f>SUM(AD68:AD72)</f>
        <v>533711217</v>
      </c>
      <c r="AE73" s="82">
        <f>SUM(AE68:AE72)</f>
        <v>169182794</v>
      </c>
      <c r="AF73" s="82">
        <f t="shared" si="30"/>
        <v>702894011</v>
      </c>
      <c r="AG73" s="44">
        <f>IF(924105008=0,0,679875659/924105008)</f>
        <v>0.7357125576793757</v>
      </c>
      <c r="AH73" s="44">
        <f t="shared" si="31"/>
        <v>0.1565860944574189</v>
      </c>
      <c r="AI73" s="63">
        <f>SUM(AI68:AI72)</f>
        <v>3064213870</v>
      </c>
      <c r="AJ73" s="63">
        <f>SUM(AJ68:AJ72)</f>
        <v>3099901090</v>
      </c>
      <c r="AK73" s="63">
        <f>SUM(AK68:AK72)</f>
        <v>2077727572</v>
      </c>
      <c r="AL73" s="63"/>
    </row>
    <row r="74" spans="1:38" s="13" customFormat="1" ht="12.75">
      <c r="A74" s="29" t="s">
        <v>96</v>
      </c>
      <c r="B74" s="60" t="s">
        <v>368</v>
      </c>
      <c r="C74" s="39" t="s">
        <v>369</v>
      </c>
      <c r="D74" s="77">
        <v>101564000</v>
      </c>
      <c r="E74" s="78">
        <v>91217725</v>
      </c>
      <c r="F74" s="79">
        <f aca="true" t="shared" si="32" ref="F74:F81">$D74+$E74</f>
        <v>192781725</v>
      </c>
      <c r="G74" s="77">
        <v>101553385</v>
      </c>
      <c r="H74" s="78">
        <v>91217725</v>
      </c>
      <c r="I74" s="79">
        <f aca="true" t="shared" si="33" ref="I74:I81">$G74+$H74</f>
        <v>192771110</v>
      </c>
      <c r="J74" s="77">
        <v>43038263</v>
      </c>
      <c r="K74" s="91">
        <v>2836227</v>
      </c>
      <c r="L74" s="78">
        <f aca="true" t="shared" si="34" ref="L74:L81">$J74+$K74</f>
        <v>45874490</v>
      </c>
      <c r="M74" s="40">
        <f aca="true" t="shared" si="35" ref="M74:M81">IF($F74=0,0,$L74/$F74)</f>
        <v>0.23796078181165772</v>
      </c>
      <c r="N74" s="105">
        <v>18389858</v>
      </c>
      <c r="O74" s="106">
        <v>18991005</v>
      </c>
      <c r="P74" s="107">
        <f aca="true" t="shared" si="36" ref="P74:P81">$N74+$O74</f>
        <v>37380863</v>
      </c>
      <c r="Q74" s="40">
        <f aca="true" t="shared" si="37" ref="Q74:Q81">IF($F74=0,0,$P74/$F74)</f>
        <v>0.19390252369616467</v>
      </c>
      <c r="R74" s="105">
        <v>23024683</v>
      </c>
      <c r="S74" s="107">
        <v>7891677</v>
      </c>
      <c r="T74" s="107">
        <f aca="true" t="shared" si="38" ref="T74:T81">$R74+$S74</f>
        <v>30916360</v>
      </c>
      <c r="U74" s="40">
        <f aca="true" t="shared" si="39" ref="U74:U81">IF($I74=0,0,$T74/$I74)</f>
        <v>0.1603785961495994</v>
      </c>
      <c r="V74" s="105">
        <v>0</v>
      </c>
      <c r="W74" s="107">
        <v>0</v>
      </c>
      <c r="X74" s="107">
        <f aca="true" t="shared" si="40" ref="X74:X81">$V74+$W74</f>
        <v>0</v>
      </c>
      <c r="Y74" s="40">
        <f aca="true" t="shared" si="41" ref="Y74:Y81">IF($I74=0,0,$X74/$I74)</f>
        <v>0</v>
      </c>
      <c r="Z74" s="77">
        <f aca="true" t="shared" si="42" ref="Z74:Z81">$J74+$N74+$R74</f>
        <v>84452804</v>
      </c>
      <c r="AA74" s="78">
        <f aca="true" t="shared" si="43" ref="AA74:AA81">$K74+$O74+$S74</f>
        <v>29718909</v>
      </c>
      <c r="AB74" s="78">
        <f aca="true" t="shared" si="44" ref="AB74:AB81">$Z74+$AA74</f>
        <v>114171713</v>
      </c>
      <c r="AC74" s="40">
        <f aca="true" t="shared" si="45" ref="AC74:AC81">IF($I74=0,0,$AB74/$I74)</f>
        <v>0.5922656823421311</v>
      </c>
      <c r="AD74" s="77">
        <v>21197871</v>
      </c>
      <c r="AE74" s="78">
        <v>3472133</v>
      </c>
      <c r="AF74" s="78">
        <f aca="true" t="shared" si="46" ref="AF74:AF81">$AD74+$AE74</f>
        <v>24670004</v>
      </c>
      <c r="AG74" s="40">
        <f>IF(147806679=0,0,93099226/147806679)</f>
        <v>0.6298715770482876</v>
      </c>
      <c r="AH74" s="40">
        <f aca="true" t="shared" si="47" ref="AH74:AH81">IF($AF74=0,0,(($T74/$AF74)-1))</f>
        <v>0.2531963918611444</v>
      </c>
      <c r="AI74" s="12">
        <v>149822000</v>
      </c>
      <c r="AJ74" s="12">
        <v>147806679</v>
      </c>
      <c r="AK74" s="12">
        <v>93099226</v>
      </c>
      <c r="AL74" s="12"/>
    </row>
    <row r="75" spans="1:38" s="13" customFormat="1" ht="12.75">
      <c r="A75" s="29" t="s">
        <v>96</v>
      </c>
      <c r="B75" s="60" t="s">
        <v>370</v>
      </c>
      <c r="C75" s="39" t="s">
        <v>371</v>
      </c>
      <c r="D75" s="77">
        <v>44088041</v>
      </c>
      <c r="E75" s="78">
        <v>10319900</v>
      </c>
      <c r="F75" s="79">
        <f t="shared" si="32"/>
        <v>54407941</v>
      </c>
      <c r="G75" s="77">
        <v>48372724</v>
      </c>
      <c r="H75" s="78">
        <v>10319900</v>
      </c>
      <c r="I75" s="79">
        <f t="shared" si="33"/>
        <v>58692624</v>
      </c>
      <c r="J75" s="77">
        <v>12028407</v>
      </c>
      <c r="K75" s="91">
        <v>3341262</v>
      </c>
      <c r="L75" s="78">
        <f t="shared" si="34"/>
        <v>15369669</v>
      </c>
      <c r="M75" s="40">
        <f t="shared" si="35"/>
        <v>0.28248944395818987</v>
      </c>
      <c r="N75" s="105">
        <v>12619394</v>
      </c>
      <c r="O75" s="106">
        <v>2304398</v>
      </c>
      <c r="P75" s="107">
        <f t="shared" si="36"/>
        <v>14923792</v>
      </c>
      <c r="Q75" s="40">
        <f t="shared" si="37"/>
        <v>0.2742943718454628</v>
      </c>
      <c r="R75" s="105">
        <v>10429496</v>
      </c>
      <c r="S75" s="107">
        <v>4226057</v>
      </c>
      <c r="T75" s="107">
        <f t="shared" si="38"/>
        <v>14655553</v>
      </c>
      <c r="U75" s="40">
        <f t="shared" si="39"/>
        <v>0.24970008156391169</v>
      </c>
      <c r="V75" s="105">
        <v>0</v>
      </c>
      <c r="W75" s="107">
        <v>0</v>
      </c>
      <c r="X75" s="107">
        <f t="shared" si="40"/>
        <v>0</v>
      </c>
      <c r="Y75" s="40">
        <f t="shared" si="41"/>
        <v>0</v>
      </c>
      <c r="Z75" s="77">
        <f t="shared" si="42"/>
        <v>35077297</v>
      </c>
      <c r="AA75" s="78">
        <f t="shared" si="43"/>
        <v>9871717</v>
      </c>
      <c r="AB75" s="78">
        <f t="shared" si="44"/>
        <v>44949014</v>
      </c>
      <c r="AC75" s="40">
        <f t="shared" si="45"/>
        <v>0.7658375267052296</v>
      </c>
      <c r="AD75" s="77">
        <v>7896250</v>
      </c>
      <c r="AE75" s="78">
        <v>2288379</v>
      </c>
      <c r="AF75" s="78">
        <f t="shared" si="46"/>
        <v>10184629</v>
      </c>
      <c r="AG75" s="40">
        <f>IF(55091732=0,0,39023413/55091732)</f>
        <v>0.7083351999171128</v>
      </c>
      <c r="AH75" s="40">
        <f t="shared" si="47"/>
        <v>0.4389874191784502</v>
      </c>
      <c r="AI75" s="12">
        <v>50880800</v>
      </c>
      <c r="AJ75" s="12">
        <v>55091732</v>
      </c>
      <c r="AK75" s="12">
        <v>39023413</v>
      </c>
      <c r="AL75" s="12"/>
    </row>
    <row r="76" spans="1:38" s="13" customFormat="1" ht="12.75">
      <c r="A76" s="29" t="s">
        <v>96</v>
      </c>
      <c r="B76" s="60" t="s">
        <v>372</v>
      </c>
      <c r="C76" s="39" t="s">
        <v>373</v>
      </c>
      <c r="D76" s="77">
        <v>294855022</v>
      </c>
      <c r="E76" s="78">
        <v>37967000</v>
      </c>
      <c r="F76" s="79">
        <f t="shared" si="32"/>
        <v>332822022</v>
      </c>
      <c r="G76" s="77">
        <v>294855022</v>
      </c>
      <c r="H76" s="78">
        <v>47179900</v>
      </c>
      <c r="I76" s="79">
        <f t="shared" si="33"/>
        <v>342034922</v>
      </c>
      <c r="J76" s="77">
        <v>124229609</v>
      </c>
      <c r="K76" s="91">
        <v>7596105</v>
      </c>
      <c r="L76" s="78">
        <f t="shared" si="34"/>
        <v>131825714</v>
      </c>
      <c r="M76" s="40">
        <f t="shared" si="35"/>
        <v>0.39608470980324734</v>
      </c>
      <c r="N76" s="105">
        <v>58330040</v>
      </c>
      <c r="O76" s="106">
        <v>7754421</v>
      </c>
      <c r="P76" s="107">
        <f t="shared" si="36"/>
        <v>66084461</v>
      </c>
      <c r="Q76" s="40">
        <f t="shared" si="37"/>
        <v>0.19855795780244373</v>
      </c>
      <c r="R76" s="105">
        <v>53683091</v>
      </c>
      <c r="S76" s="107">
        <v>2918916</v>
      </c>
      <c r="T76" s="107">
        <f t="shared" si="38"/>
        <v>56602007</v>
      </c>
      <c r="U76" s="40">
        <f t="shared" si="39"/>
        <v>0.16548604648036494</v>
      </c>
      <c r="V76" s="105">
        <v>0</v>
      </c>
      <c r="W76" s="107">
        <v>0</v>
      </c>
      <c r="X76" s="107">
        <f t="shared" si="40"/>
        <v>0</v>
      </c>
      <c r="Y76" s="40">
        <f t="shared" si="41"/>
        <v>0</v>
      </c>
      <c r="Z76" s="77">
        <f t="shared" si="42"/>
        <v>236242740</v>
      </c>
      <c r="AA76" s="78">
        <f t="shared" si="43"/>
        <v>18269442</v>
      </c>
      <c r="AB76" s="78">
        <f t="shared" si="44"/>
        <v>254512182</v>
      </c>
      <c r="AC76" s="40">
        <f t="shared" si="45"/>
        <v>0.7441116845957618</v>
      </c>
      <c r="AD76" s="77">
        <v>50757209</v>
      </c>
      <c r="AE76" s="78">
        <v>9703401</v>
      </c>
      <c r="AF76" s="78">
        <f t="shared" si="46"/>
        <v>60460610</v>
      </c>
      <c r="AG76" s="40">
        <f>IF(328953730=0,0,255372920/328953730)</f>
        <v>0.7763186634181044</v>
      </c>
      <c r="AH76" s="40">
        <f t="shared" si="47"/>
        <v>-0.0638201136243911</v>
      </c>
      <c r="AI76" s="12">
        <v>323632642</v>
      </c>
      <c r="AJ76" s="12">
        <v>328953730</v>
      </c>
      <c r="AK76" s="12">
        <v>255372920</v>
      </c>
      <c r="AL76" s="12"/>
    </row>
    <row r="77" spans="1:38" s="13" customFormat="1" ht="12.75">
      <c r="A77" s="29" t="s">
        <v>96</v>
      </c>
      <c r="B77" s="60" t="s">
        <v>374</v>
      </c>
      <c r="C77" s="39" t="s">
        <v>375</v>
      </c>
      <c r="D77" s="77">
        <v>112542711</v>
      </c>
      <c r="E77" s="78">
        <v>88188827</v>
      </c>
      <c r="F77" s="79">
        <f t="shared" si="32"/>
        <v>200731538</v>
      </c>
      <c r="G77" s="77">
        <v>125780243</v>
      </c>
      <c r="H77" s="78">
        <v>102525699</v>
      </c>
      <c r="I77" s="79">
        <f t="shared" si="33"/>
        <v>228305942</v>
      </c>
      <c r="J77" s="77">
        <v>52963379</v>
      </c>
      <c r="K77" s="91">
        <v>14625274</v>
      </c>
      <c r="L77" s="78">
        <f t="shared" si="34"/>
        <v>67588653</v>
      </c>
      <c r="M77" s="40">
        <f t="shared" si="35"/>
        <v>0.3367116780622684</v>
      </c>
      <c r="N77" s="105">
        <v>35311224</v>
      </c>
      <c r="O77" s="106">
        <v>19473539</v>
      </c>
      <c r="P77" s="107">
        <f t="shared" si="36"/>
        <v>54784763</v>
      </c>
      <c r="Q77" s="40">
        <f t="shared" si="37"/>
        <v>0.2729255379889532</v>
      </c>
      <c r="R77" s="105">
        <v>27980962</v>
      </c>
      <c r="S77" s="107">
        <v>11018837</v>
      </c>
      <c r="T77" s="107">
        <f t="shared" si="38"/>
        <v>38999799</v>
      </c>
      <c r="U77" s="40">
        <f t="shared" si="39"/>
        <v>0.1708225316360798</v>
      </c>
      <c r="V77" s="105">
        <v>0</v>
      </c>
      <c r="W77" s="107">
        <v>0</v>
      </c>
      <c r="X77" s="107">
        <f t="shared" si="40"/>
        <v>0</v>
      </c>
      <c r="Y77" s="40">
        <f t="shared" si="41"/>
        <v>0</v>
      </c>
      <c r="Z77" s="77">
        <f t="shared" si="42"/>
        <v>116255565</v>
      </c>
      <c r="AA77" s="78">
        <f t="shared" si="43"/>
        <v>45117650</v>
      </c>
      <c r="AB77" s="78">
        <f t="shared" si="44"/>
        <v>161373215</v>
      </c>
      <c r="AC77" s="40">
        <f t="shared" si="45"/>
        <v>0.7068287999267229</v>
      </c>
      <c r="AD77" s="77">
        <v>24775638</v>
      </c>
      <c r="AE77" s="78">
        <v>12065810</v>
      </c>
      <c r="AF77" s="78">
        <f t="shared" si="46"/>
        <v>36841448</v>
      </c>
      <c r="AG77" s="40">
        <f>IF(176646402=0,0,86121251/176646402)</f>
        <v>0.4875347022352598</v>
      </c>
      <c r="AH77" s="40">
        <f t="shared" si="47"/>
        <v>0.058584858011009766</v>
      </c>
      <c r="AI77" s="12">
        <v>145055332</v>
      </c>
      <c r="AJ77" s="12">
        <v>176646402</v>
      </c>
      <c r="AK77" s="12">
        <v>86121251</v>
      </c>
      <c r="AL77" s="12"/>
    </row>
    <row r="78" spans="1:38" s="13" customFormat="1" ht="12.75">
      <c r="A78" s="29" t="s">
        <v>96</v>
      </c>
      <c r="B78" s="60" t="s">
        <v>376</v>
      </c>
      <c r="C78" s="39" t="s">
        <v>377</v>
      </c>
      <c r="D78" s="77">
        <v>195951479</v>
      </c>
      <c r="E78" s="78">
        <v>58148880</v>
      </c>
      <c r="F78" s="79">
        <f t="shared" si="32"/>
        <v>254100359</v>
      </c>
      <c r="G78" s="77">
        <v>199519707</v>
      </c>
      <c r="H78" s="78">
        <v>82968515</v>
      </c>
      <c r="I78" s="79">
        <f t="shared" si="33"/>
        <v>282488222</v>
      </c>
      <c r="J78" s="77">
        <v>75577242</v>
      </c>
      <c r="K78" s="91">
        <v>27844659</v>
      </c>
      <c r="L78" s="78">
        <f t="shared" si="34"/>
        <v>103421901</v>
      </c>
      <c r="M78" s="40">
        <f t="shared" si="35"/>
        <v>0.40701202236396683</v>
      </c>
      <c r="N78" s="105">
        <v>58117807</v>
      </c>
      <c r="O78" s="106">
        <v>16702740</v>
      </c>
      <c r="P78" s="107">
        <f t="shared" si="36"/>
        <v>74820547</v>
      </c>
      <c r="Q78" s="40">
        <f t="shared" si="37"/>
        <v>0.2944527402261561</v>
      </c>
      <c r="R78" s="105">
        <v>44048848</v>
      </c>
      <c r="S78" s="107">
        <v>15746182</v>
      </c>
      <c r="T78" s="107">
        <f t="shared" si="38"/>
        <v>59795030</v>
      </c>
      <c r="U78" s="40">
        <f t="shared" si="39"/>
        <v>0.21167264807238584</v>
      </c>
      <c r="V78" s="105">
        <v>0</v>
      </c>
      <c r="W78" s="107">
        <v>0</v>
      </c>
      <c r="X78" s="107">
        <f t="shared" si="40"/>
        <v>0</v>
      </c>
      <c r="Y78" s="40">
        <f t="shared" si="41"/>
        <v>0</v>
      </c>
      <c r="Z78" s="77">
        <f t="shared" si="42"/>
        <v>177743897</v>
      </c>
      <c r="AA78" s="78">
        <f t="shared" si="43"/>
        <v>60293581</v>
      </c>
      <c r="AB78" s="78">
        <f t="shared" si="44"/>
        <v>238037478</v>
      </c>
      <c r="AC78" s="40">
        <f t="shared" si="45"/>
        <v>0.8426456732061558</v>
      </c>
      <c r="AD78" s="77">
        <v>37892089</v>
      </c>
      <c r="AE78" s="78">
        <v>27700536</v>
      </c>
      <c r="AF78" s="78">
        <f t="shared" si="46"/>
        <v>65592625</v>
      </c>
      <c r="AG78" s="40">
        <f>IF(249152865=0,0,199896508/249152865)</f>
        <v>0.8023046734782681</v>
      </c>
      <c r="AH78" s="40">
        <f t="shared" si="47"/>
        <v>-0.08838790946390696</v>
      </c>
      <c r="AI78" s="12">
        <v>220645141</v>
      </c>
      <c r="AJ78" s="12">
        <v>249152865</v>
      </c>
      <c r="AK78" s="12">
        <v>199896508</v>
      </c>
      <c r="AL78" s="12"/>
    </row>
    <row r="79" spans="1:38" s="13" customFormat="1" ht="12.75">
      <c r="A79" s="29" t="s">
        <v>115</v>
      </c>
      <c r="B79" s="60" t="s">
        <v>378</v>
      </c>
      <c r="C79" s="39" t="s">
        <v>379</v>
      </c>
      <c r="D79" s="77">
        <v>369998125</v>
      </c>
      <c r="E79" s="78">
        <v>306649875</v>
      </c>
      <c r="F79" s="79">
        <f t="shared" si="32"/>
        <v>676648000</v>
      </c>
      <c r="G79" s="77">
        <v>314738383</v>
      </c>
      <c r="H79" s="78">
        <v>250238037</v>
      </c>
      <c r="I79" s="79">
        <f t="shared" si="33"/>
        <v>564976420</v>
      </c>
      <c r="J79" s="77">
        <v>117531978</v>
      </c>
      <c r="K79" s="91">
        <v>30155169</v>
      </c>
      <c r="L79" s="78">
        <f t="shared" si="34"/>
        <v>147687147</v>
      </c>
      <c r="M79" s="40">
        <f t="shared" si="35"/>
        <v>0.21826288853288564</v>
      </c>
      <c r="N79" s="105">
        <v>92720792</v>
      </c>
      <c r="O79" s="106">
        <v>80778111</v>
      </c>
      <c r="P79" s="107">
        <f t="shared" si="36"/>
        <v>173498903</v>
      </c>
      <c r="Q79" s="40">
        <f t="shared" si="37"/>
        <v>0.2564093930670009</v>
      </c>
      <c r="R79" s="105">
        <v>74479655</v>
      </c>
      <c r="S79" s="107">
        <v>44597904</v>
      </c>
      <c r="T79" s="107">
        <f t="shared" si="38"/>
        <v>119077559</v>
      </c>
      <c r="U79" s="40">
        <f t="shared" si="39"/>
        <v>0.21076553779005502</v>
      </c>
      <c r="V79" s="105">
        <v>0</v>
      </c>
      <c r="W79" s="107">
        <v>0</v>
      </c>
      <c r="X79" s="107">
        <f t="shared" si="40"/>
        <v>0</v>
      </c>
      <c r="Y79" s="40">
        <f t="shared" si="41"/>
        <v>0</v>
      </c>
      <c r="Z79" s="77">
        <f t="shared" si="42"/>
        <v>284732425</v>
      </c>
      <c r="AA79" s="78">
        <f t="shared" si="43"/>
        <v>155531184</v>
      </c>
      <c r="AB79" s="78">
        <f t="shared" si="44"/>
        <v>440263609</v>
      </c>
      <c r="AC79" s="40">
        <f t="shared" si="45"/>
        <v>0.7792601485916881</v>
      </c>
      <c r="AD79" s="77">
        <v>79393804</v>
      </c>
      <c r="AE79" s="78">
        <v>78789455</v>
      </c>
      <c r="AF79" s="78">
        <f t="shared" si="46"/>
        <v>158183259</v>
      </c>
      <c r="AG79" s="40">
        <f>IF(600497496=0,0,465129723/600497496)</f>
        <v>0.7745739592559433</v>
      </c>
      <c r="AH79" s="40">
        <f t="shared" si="47"/>
        <v>-0.24721769071656308</v>
      </c>
      <c r="AI79" s="12">
        <v>611203601</v>
      </c>
      <c r="AJ79" s="12">
        <v>600497496</v>
      </c>
      <c r="AK79" s="12">
        <v>465129723</v>
      </c>
      <c r="AL79" s="12"/>
    </row>
    <row r="80" spans="1:38" s="56" customFormat="1" ht="12.75">
      <c r="A80" s="61"/>
      <c r="B80" s="62" t="s">
        <v>380</v>
      </c>
      <c r="C80" s="32"/>
      <c r="D80" s="81">
        <f>SUM(D74:D79)</f>
        <v>1118999378</v>
      </c>
      <c r="E80" s="82">
        <f>SUM(E74:E79)</f>
        <v>592492207</v>
      </c>
      <c r="F80" s="83">
        <f t="shared" si="32"/>
        <v>1711491585</v>
      </c>
      <c r="G80" s="81">
        <f>SUM(G74:G79)</f>
        <v>1084819464</v>
      </c>
      <c r="H80" s="82">
        <f>SUM(H74:H79)</f>
        <v>584449776</v>
      </c>
      <c r="I80" s="90">
        <f t="shared" si="33"/>
        <v>1669269240</v>
      </c>
      <c r="J80" s="81">
        <f>SUM(J74:J79)</f>
        <v>425368878</v>
      </c>
      <c r="K80" s="92">
        <f>SUM(K74:K79)</f>
        <v>86398696</v>
      </c>
      <c r="L80" s="82">
        <f t="shared" si="34"/>
        <v>511767574</v>
      </c>
      <c r="M80" s="44">
        <f t="shared" si="35"/>
        <v>0.2990184576338422</v>
      </c>
      <c r="N80" s="111">
        <f>SUM(N74:N79)</f>
        <v>275489115</v>
      </c>
      <c r="O80" s="112">
        <f>SUM(O74:O79)</f>
        <v>146004214</v>
      </c>
      <c r="P80" s="113">
        <f t="shared" si="36"/>
        <v>421493329</v>
      </c>
      <c r="Q80" s="44">
        <f t="shared" si="37"/>
        <v>0.24627251030276026</v>
      </c>
      <c r="R80" s="111">
        <f>SUM(R74:R79)</f>
        <v>233646735</v>
      </c>
      <c r="S80" s="113">
        <f>SUM(S74:S79)</f>
        <v>86399573</v>
      </c>
      <c r="T80" s="113">
        <f t="shared" si="38"/>
        <v>320046308</v>
      </c>
      <c r="U80" s="44">
        <f t="shared" si="39"/>
        <v>0.19172839247909462</v>
      </c>
      <c r="V80" s="111">
        <f>SUM(V74:V79)</f>
        <v>0</v>
      </c>
      <c r="W80" s="113">
        <f>SUM(W74:W79)</f>
        <v>0</v>
      </c>
      <c r="X80" s="113">
        <f t="shared" si="40"/>
        <v>0</v>
      </c>
      <c r="Y80" s="44">
        <f t="shared" si="41"/>
        <v>0</v>
      </c>
      <c r="Z80" s="81">
        <f t="shared" si="42"/>
        <v>934504728</v>
      </c>
      <c r="AA80" s="82">
        <f t="shared" si="43"/>
        <v>318802483</v>
      </c>
      <c r="AB80" s="82">
        <f t="shared" si="44"/>
        <v>1253307211</v>
      </c>
      <c r="AC80" s="44">
        <f t="shared" si="45"/>
        <v>0.7508119007812065</v>
      </c>
      <c r="AD80" s="81">
        <f>SUM(AD74:AD79)</f>
        <v>221912861</v>
      </c>
      <c r="AE80" s="82">
        <f>SUM(AE74:AE79)</f>
        <v>134019714</v>
      </c>
      <c r="AF80" s="82">
        <f t="shared" si="46"/>
        <v>355932575</v>
      </c>
      <c r="AG80" s="44">
        <f>IF(600497496=0,0,465129723/600497496)</f>
        <v>0.7745739592559433</v>
      </c>
      <c r="AH80" s="44">
        <f t="shared" si="47"/>
        <v>-0.1008232163071896</v>
      </c>
      <c r="AI80" s="63">
        <f>SUM(AI74:AI79)</f>
        <v>1501239516</v>
      </c>
      <c r="AJ80" s="63">
        <f>SUM(AJ74:AJ79)</f>
        <v>1558148904</v>
      </c>
      <c r="AK80" s="63">
        <f>SUM(AK74:AK79)</f>
        <v>1138643041</v>
      </c>
      <c r="AL80" s="63"/>
    </row>
    <row r="81" spans="1:38" s="56" customFormat="1" ht="12.75">
      <c r="A81" s="61"/>
      <c r="B81" s="62" t="s">
        <v>381</v>
      </c>
      <c r="C81" s="32"/>
      <c r="D81" s="81">
        <f>SUM(D9,D11:D17,D19:D26,D28:D33,D35:D39,D41:D44,D46:D51,D53:D58,D60:D66,D68:D72,D74:D79)</f>
        <v>51999081114</v>
      </c>
      <c r="E81" s="82">
        <f>SUM(E9,E11:E17,E19:E26,E28:E33,E35:E39,E41:E44,E46:E51,E53:E58,E60:E66,E68:E72,E74:E79)</f>
        <v>13943250451</v>
      </c>
      <c r="F81" s="83">
        <f t="shared" si="32"/>
        <v>65942331565</v>
      </c>
      <c r="G81" s="81">
        <f>SUM(G9,G11:G17,G19:G26,G28:G33,G35:G39,G41:G44,G46:G51,G53:G58,G60:G66,G68:G72,G74:G79)</f>
        <v>52080466144</v>
      </c>
      <c r="H81" s="82">
        <f>SUM(H9,H11:H17,H19:H26,H28:H33,H35:H39,H41:H44,H46:H51,H53:H58,H60:H66,H68:H72,H74:H79)</f>
        <v>14135070322</v>
      </c>
      <c r="I81" s="90">
        <f t="shared" si="33"/>
        <v>66215536466</v>
      </c>
      <c r="J81" s="81">
        <f>SUM(J9,J11:J17,J19:J26,J28:J33,J35:J39,J41:J44,J46:J51,J53:J58,J60:J66,J68:J72,J74:J79)</f>
        <v>14783183896</v>
      </c>
      <c r="K81" s="92">
        <f>SUM(K9,K11:K17,K19:K26,K28:K33,K35:K39,K41:K44,K46:K51,K53:K58,K60:K66,K68:K72,K74:K79)</f>
        <v>2037436939</v>
      </c>
      <c r="L81" s="82">
        <f t="shared" si="34"/>
        <v>16820620835</v>
      </c>
      <c r="M81" s="44">
        <f t="shared" si="35"/>
        <v>0.25508077187746614</v>
      </c>
      <c r="N81" s="111">
        <f>SUM(N9,N11:N17,N19:N26,N28:N33,N35:N39,N41:N44,N46:N51,N53:N58,N60:N66,N68:N72,N74:N79)</f>
        <v>13246943958</v>
      </c>
      <c r="O81" s="112">
        <f>SUM(O9,O11:O17,O19:O26,O28:O33,O35:O39,O41:O44,O46:O51,O53:O58,O60:O66,O68:O72,O74:O79)</f>
        <v>2931071638</v>
      </c>
      <c r="P81" s="113">
        <f t="shared" si="36"/>
        <v>16178015596</v>
      </c>
      <c r="Q81" s="44">
        <f t="shared" si="37"/>
        <v>0.24533581406737448</v>
      </c>
      <c r="R81" s="111">
        <f>SUM(R9,R11:R17,R19:R26,R28:R33,R35:R39,R41:R44,R46:R51,R53:R58,R60:R66,R68:R72,R74:R79)</f>
        <v>10940589152</v>
      </c>
      <c r="S81" s="113">
        <f>SUM(S9,S11:S17,S19:S26,S28:S33,S35:S39,S41:S44,S46:S51,S53:S58,S60:S66,S68:S72,S74:S79)</f>
        <v>2450821248</v>
      </c>
      <c r="T81" s="113">
        <f t="shared" si="38"/>
        <v>13391410400</v>
      </c>
      <c r="U81" s="44">
        <f t="shared" si="39"/>
        <v>0.202239702564007</v>
      </c>
      <c r="V81" s="111">
        <f>SUM(V9,V11:V17,V19:V26,V28:V33,V35:V39,V41:V44,V46:V51,V53:V58,V60:V66,V68:V72,V74:V79)</f>
        <v>0</v>
      </c>
      <c r="W81" s="113">
        <f>SUM(W9,W11:W17,W19:W26,W28:W33,W35:W39,W41:W44,W46:W51,W53:W58,W60:W66,W68:W72,W74:W79)</f>
        <v>0</v>
      </c>
      <c r="X81" s="113">
        <f t="shared" si="40"/>
        <v>0</v>
      </c>
      <c r="Y81" s="44">
        <f t="shared" si="41"/>
        <v>0</v>
      </c>
      <c r="Z81" s="81">
        <f t="shared" si="42"/>
        <v>38970717006</v>
      </c>
      <c r="AA81" s="82">
        <f t="shared" si="43"/>
        <v>7419329825</v>
      </c>
      <c r="AB81" s="82">
        <f t="shared" si="44"/>
        <v>46390046831</v>
      </c>
      <c r="AC81" s="44">
        <f t="shared" si="45"/>
        <v>0.7005915727167764</v>
      </c>
      <c r="AD81" s="81">
        <f>SUM(AD9,AD11:AD17,AD19:AD26,AD28:AD33,AD35:AD39,AD41:AD44,AD46:AD51,AD53:AD58,AD60:AD66,AD68:AD72,AD74:AD79)</f>
        <v>12026342129</v>
      </c>
      <c r="AE81" s="82">
        <f>SUM(AE9,AE11:AE17,AE19:AE26,AE28:AE33,AE35:AE39,AE41:AE44,AE46:AE51,AE53:AE58,AE60:AE66,AE68:AE72,AE74:AE79)</f>
        <v>2463122474</v>
      </c>
      <c r="AF81" s="82">
        <f t="shared" si="46"/>
        <v>14489464603</v>
      </c>
      <c r="AG81" s="44">
        <f>IF(600497496=0,0,465129723/600497496)</f>
        <v>0.7745739592559433</v>
      </c>
      <c r="AH81" s="44">
        <f t="shared" si="47"/>
        <v>-0.0757829383683819</v>
      </c>
      <c r="AI81" s="63">
        <f>SUM(AI9,AI11:AI17,AI19:AI26,AI28:AI33,AI35:AI39,AI41:AI44,AI46:AI51,AI53:AI58,AI60:AI66,AI68:AI72,AI74:AI79)</f>
        <v>59405816494</v>
      </c>
      <c r="AJ81" s="63">
        <f>SUM(AJ9,AJ11:AJ17,AJ19:AJ26,AJ28:AJ33,AJ35:AJ39,AJ41:AJ44,AJ46:AJ51,AJ53:AJ58,AJ60:AJ66,AJ68:AJ72,AJ74:AJ79)</f>
        <v>60140544881</v>
      </c>
      <c r="AK81" s="63">
        <f>SUM(AK9,AK11:AK17,AK19:AK26,AK28:AK33,AK35:AK39,AK41:AK44,AK46:AK51,AK53:AK58,AK60:AK66,AK68:AK72,AK74:AK79)</f>
        <v>45190030063</v>
      </c>
      <c r="AL81" s="63"/>
    </row>
    <row r="82" spans="1:38" s="13" customFormat="1" ht="12.75">
      <c r="A82" s="64"/>
      <c r="B82" s="65"/>
      <c r="C82" s="66"/>
      <c r="D82" s="67"/>
      <c r="E82" s="67"/>
      <c r="F82" s="68"/>
      <c r="G82" s="69"/>
      <c r="H82" s="67"/>
      <c r="I82" s="70"/>
      <c r="J82" s="69"/>
      <c r="K82" s="71"/>
      <c r="L82" s="67"/>
      <c r="M82" s="70"/>
      <c r="N82" s="69"/>
      <c r="O82" s="71"/>
      <c r="P82" s="67"/>
      <c r="Q82" s="70"/>
      <c r="R82" s="69"/>
      <c r="S82" s="71"/>
      <c r="T82" s="67"/>
      <c r="U82" s="70"/>
      <c r="V82" s="69"/>
      <c r="W82" s="71"/>
      <c r="X82" s="67"/>
      <c r="Y82" s="70"/>
      <c r="Z82" s="69"/>
      <c r="AA82" s="71"/>
      <c r="AB82" s="67"/>
      <c r="AC82" s="70"/>
      <c r="AD82" s="69"/>
      <c r="AE82" s="67"/>
      <c r="AF82" s="67"/>
      <c r="AG82" s="70"/>
      <c r="AH82" s="70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0" t="s">
        <v>382</v>
      </c>
      <c r="C9" s="39" t="s">
        <v>383</v>
      </c>
      <c r="D9" s="77">
        <v>285121970</v>
      </c>
      <c r="E9" s="78">
        <v>135857736</v>
      </c>
      <c r="F9" s="79">
        <f>$D9+$E9</f>
        <v>420979706</v>
      </c>
      <c r="G9" s="77">
        <v>298753870</v>
      </c>
      <c r="H9" s="78">
        <v>139235979</v>
      </c>
      <c r="I9" s="80">
        <f>$G9+$H9</f>
        <v>437989849</v>
      </c>
      <c r="J9" s="77">
        <v>113372214</v>
      </c>
      <c r="K9" s="78">
        <v>27820783</v>
      </c>
      <c r="L9" s="78">
        <f>$J9+$K9</f>
        <v>141192997</v>
      </c>
      <c r="M9" s="40">
        <f>IF($F9=0,0,$L9/$F9)</f>
        <v>0.33539145708843265</v>
      </c>
      <c r="N9" s="105">
        <v>93002747</v>
      </c>
      <c r="O9" s="106">
        <v>46071223</v>
      </c>
      <c r="P9" s="107">
        <f>$N9+$O9</f>
        <v>139073970</v>
      </c>
      <c r="Q9" s="40">
        <f>IF($F9=0,0,$P9/$F9)</f>
        <v>0.3303578961594885</v>
      </c>
      <c r="R9" s="105">
        <v>73905752</v>
      </c>
      <c r="S9" s="107">
        <v>34123055</v>
      </c>
      <c r="T9" s="107">
        <f>$R9+$S9</f>
        <v>108028807</v>
      </c>
      <c r="U9" s="40">
        <f>IF($I9=0,0,$T9/$I9)</f>
        <v>0.24664682810947977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280280713</v>
      </c>
      <c r="AA9" s="78">
        <f>$K9+$O9+$S9</f>
        <v>108015061</v>
      </c>
      <c r="AB9" s="78">
        <f>$Z9+$AA9</f>
        <v>388295774</v>
      </c>
      <c r="AC9" s="40">
        <f>IF($I9=0,0,$AB9/$I9)</f>
        <v>0.886540578249794</v>
      </c>
      <c r="AD9" s="77">
        <v>63115741</v>
      </c>
      <c r="AE9" s="78">
        <v>34259313</v>
      </c>
      <c r="AF9" s="78">
        <f>$AD9+$AE9</f>
        <v>97375054</v>
      </c>
      <c r="AG9" s="40">
        <f>IF(363631706=0,0,292499288/363631706)</f>
        <v>0.8043833449440737</v>
      </c>
      <c r="AH9" s="40">
        <f>IF($AF9=0,0,(($T9/$AF9)-1))</f>
        <v>0.10940946949307984</v>
      </c>
      <c r="AI9" s="12">
        <v>341228426</v>
      </c>
      <c r="AJ9" s="12">
        <v>363631706</v>
      </c>
      <c r="AK9" s="12">
        <v>292499288</v>
      </c>
      <c r="AL9" s="12"/>
    </row>
    <row r="10" spans="1:38" s="13" customFormat="1" ht="12.75">
      <c r="A10" s="29" t="s">
        <v>96</v>
      </c>
      <c r="B10" s="60" t="s">
        <v>384</v>
      </c>
      <c r="C10" s="39" t="s">
        <v>385</v>
      </c>
      <c r="D10" s="77">
        <v>261674978</v>
      </c>
      <c r="E10" s="78">
        <v>169050607</v>
      </c>
      <c r="F10" s="80">
        <f aca="true" t="shared" si="0" ref="F10:F44">$D10+$E10</f>
        <v>430725585</v>
      </c>
      <c r="G10" s="77">
        <v>264694691</v>
      </c>
      <c r="H10" s="78">
        <v>227668176</v>
      </c>
      <c r="I10" s="80">
        <f aca="true" t="shared" si="1" ref="I10:I44">$G10+$H10</f>
        <v>492362867</v>
      </c>
      <c r="J10" s="77">
        <v>98373225</v>
      </c>
      <c r="K10" s="78">
        <v>36651978</v>
      </c>
      <c r="L10" s="78">
        <f aca="true" t="shared" si="2" ref="L10:L44">$J10+$K10</f>
        <v>135025203</v>
      </c>
      <c r="M10" s="40">
        <f aca="true" t="shared" si="3" ref="M10:M44">IF($F10=0,0,$L10/$F10)</f>
        <v>0.3134831263854456</v>
      </c>
      <c r="N10" s="105">
        <v>66745690</v>
      </c>
      <c r="O10" s="106">
        <v>39159022</v>
      </c>
      <c r="P10" s="107">
        <f aca="true" t="shared" si="4" ref="P10:P44">$N10+$O10</f>
        <v>105904712</v>
      </c>
      <c r="Q10" s="40">
        <f aca="true" t="shared" si="5" ref="Q10:Q44">IF($F10=0,0,$P10/$F10)</f>
        <v>0.24587513648626189</v>
      </c>
      <c r="R10" s="105">
        <v>63662445</v>
      </c>
      <c r="S10" s="107">
        <v>38533256</v>
      </c>
      <c r="T10" s="107">
        <f aca="true" t="shared" si="6" ref="T10:T44">$R10+$S10</f>
        <v>102195701</v>
      </c>
      <c r="U10" s="40">
        <f aca="true" t="shared" si="7" ref="U10:U44">IF($I10=0,0,$T10/$I10)</f>
        <v>0.20756175546439004</v>
      </c>
      <c r="V10" s="105">
        <v>0</v>
      </c>
      <c r="W10" s="107">
        <v>0</v>
      </c>
      <c r="X10" s="107">
        <f aca="true" t="shared" si="8" ref="X10:X44">$V10+$W10</f>
        <v>0</v>
      </c>
      <c r="Y10" s="40">
        <f aca="true" t="shared" si="9" ref="Y10:Y44">IF($I10=0,0,$X10/$I10)</f>
        <v>0</v>
      </c>
      <c r="Z10" s="77">
        <f aca="true" t="shared" si="10" ref="Z10:Z44">$J10+$N10+$R10</f>
        <v>228781360</v>
      </c>
      <c r="AA10" s="78">
        <f aca="true" t="shared" si="11" ref="AA10:AA44">$K10+$O10+$S10</f>
        <v>114344256</v>
      </c>
      <c r="AB10" s="78">
        <f aca="true" t="shared" si="12" ref="AB10:AB44">$Z10+$AA10</f>
        <v>343125616</v>
      </c>
      <c r="AC10" s="40">
        <f aca="true" t="shared" si="13" ref="AC10:AC44">IF($I10=0,0,$AB10/$I10)</f>
        <v>0.6968958038827896</v>
      </c>
      <c r="AD10" s="77">
        <v>11267631</v>
      </c>
      <c r="AE10" s="78">
        <v>14196486</v>
      </c>
      <c r="AF10" s="78">
        <f aca="true" t="shared" si="14" ref="AF10:AF44">$AD10+$AE10</f>
        <v>25464117</v>
      </c>
      <c r="AG10" s="40">
        <f>IF(487413216=0,0,100391020/487413216)</f>
        <v>0.20596696335784215</v>
      </c>
      <c r="AH10" s="40">
        <f aca="true" t="shared" si="15" ref="AH10:AH44">IF($AF10=0,0,(($T10/$AF10)-1))</f>
        <v>3.013322001308744</v>
      </c>
      <c r="AI10" s="12">
        <v>397781758</v>
      </c>
      <c r="AJ10" s="12">
        <v>487413216</v>
      </c>
      <c r="AK10" s="12">
        <v>100391020</v>
      </c>
      <c r="AL10" s="12"/>
    </row>
    <row r="11" spans="1:38" s="13" customFormat="1" ht="12.75">
      <c r="A11" s="29" t="s">
        <v>96</v>
      </c>
      <c r="B11" s="60" t="s">
        <v>386</v>
      </c>
      <c r="C11" s="39" t="s">
        <v>387</v>
      </c>
      <c r="D11" s="77">
        <v>953193355</v>
      </c>
      <c r="E11" s="78">
        <v>144684479</v>
      </c>
      <c r="F11" s="79">
        <f t="shared" si="0"/>
        <v>1097877834</v>
      </c>
      <c r="G11" s="77">
        <v>954245770</v>
      </c>
      <c r="H11" s="78">
        <v>200256351</v>
      </c>
      <c r="I11" s="80">
        <f t="shared" si="1"/>
        <v>1154502121</v>
      </c>
      <c r="J11" s="77">
        <v>290960491</v>
      </c>
      <c r="K11" s="78">
        <v>18081278</v>
      </c>
      <c r="L11" s="78">
        <f t="shared" si="2"/>
        <v>309041769</v>
      </c>
      <c r="M11" s="40">
        <f t="shared" si="3"/>
        <v>0.281490125248307</v>
      </c>
      <c r="N11" s="105">
        <v>218960149</v>
      </c>
      <c r="O11" s="106">
        <v>46168082</v>
      </c>
      <c r="P11" s="107">
        <f t="shared" si="4"/>
        <v>265128231</v>
      </c>
      <c r="Q11" s="40">
        <f t="shared" si="5"/>
        <v>0.24149156016205717</v>
      </c>
      <c r="R11" s="105">
        <v>181714705</v>
      </c>
      <c r="S11" s="107">
        <v>26478576</v>
      </c>
      <c r="T11" s="107">
        <f t="shared" si="6"/>
        <v>208193281</v>
      </c>
      <c r="U11" s="40">
        <f t="shared" si="7"/>
        <v>0.18033165744179694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691635345</v>
      </c>
      <c r="AA11" s="78">
        <f t="shared" si="11"/>
        <v>90727936</v>
      </c>
      <c r="AB11" s="78">
        <f t="shared" si="12"/>
        <v>782363281</v>
      </c>
      <c r="AC11" s="40">
        <f t="shared" si="13"/>
        <v>0.6776629221974378</v>
      </c>
      <c r="AD11" s="77">
        <v>108970671</v>
      </c>
      <c r="AE11" s="78">
        <v>28322433</v>
      </c>
      <c r="AF11" s="78">
        <f t="shared" si="14"/>
        <v>137293104</v>
      </c>
      <c r="AG11" s="40">
        <f>IF(1089039889=0,0,760207099/1089039889)</f>
        <v>0.6980525751890067</v>
      </c>
      <c r="AH11" s="40">
        <f t="shared" si="15"/>
        <v>0.5164146991679932</v>
      </c>
      <c r="AI11" s="12">
        <v>995296741</v>
      </c>
      <c r="AJ11" s="12">
        <v>1089039889</v>
      </c>
      <c r="AK11" s="12">
        <v>760207099</v>
      </c>
      <c r="AL11" s="12"/>
    </row>
    <row r="12" spans="1:38" s="13" customFormat="1" ht="12.75">
      <c r="A12" s="29" t="s">
        <v>96</v>
      </c>
      <c r="B12" s="60" t="s">
        <v>388</v>
      </c>
      <c r="C12" s="39" t="s">
        <v>389</v>
      </c>
      <c r="D12" s="77">
        <v>443064865</v>
      </c>
      <c r="E12" s="78">
        <v>53792000</v>
      </c>
      <c r="F12" s="79">
        <f t="shared" si="0"/>
        <v>496856865</v>
      </c>
      <c r="G12" s="77">
        <v>420815585</v>
      </c>
      <c r="H12" s="78">
        <v>50792000</v>
      </c>
      <c r="I12" s="80">
        <f t="shared" si="1"/>
        <v>471607585</v>
      </c>
      <c r="J12" s="77">
        <v>117881073</v>
      </c>
      <c r="K12" s="78">
        <v>12677354</v>
      </c>
      <c r="L12" s="78">
        <f t="shared" si="2"/>
        <v>130558427</v>
      </c>
      <c r="M12" s="40">
        <f t="shared" si="3"/>
        <v>0.2627686889261357</v>
      </c>
      <c r="N12" s="105">
        <v>103179395</v>
      </c>
      <c r="O12" s="106">
        <v>18617588</v>
      </c>
      <c r="P12" s="107">
        <f t="shared" si="4"/>
        <v>121796983</v>
      </c>
      <c r="Q12" s="40">
        <f t="shared" si="5"/>
        <v>0.24513495048518652</v>
      </c>
      <c r="R12" s="105">
        <v>95947272</v>
      </c>
      <c r="S12" s="107">
        <v>4436116</v>
      </c>
      <c r="T12" s="107">
        <f t="shared" si="6"/>
        <v>100383388</v>
      </c>
      <c r="U12" s="40">
        <f t="shared" si="7"/>
        <v>0.21285363338674887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317007740</v>
      </c>
      <c r="AA12" s="78">
        <f t="shared" si="11"/>
        <v>35731058</v>
      </c>
      <c r="AB12" s="78">
        <f t="shared" si="12"/>
        <v>352738798</v>
      </c>
      <c r="AC12" s="40">
        <f t="shared" si="13"/>
        <v>0.7479497981356682</v>
      </c>
      <c r="AD12" s="77">
        <v>64966504</v>
      </c>
      <c r="AE12" s="78">
        <v>4362430</v>
      </c>
      <c r="AF12" s="78">
        <f t="shared" si="14"/>
        <v>69328934</v>
      </c>
      <c r="AG12" s="40">
        <f>IF(410529964=0,0,282383325/410529964)</f>
        <v>0.687850704607764</v>
      </c>
      <c r="AH12" s="40">
        <f t="shared" si="15"/>
        <v>0.4479292008153479</v>
      </c>
      <c r="AI12" s="12">
        <v>417429963</v>
      </c>
      <c r="AJ12" s="12">
        <v>410529964</v>
      </c>
      <c r="AK12" s="12">
        <v>282383325</v>
      </c>
      <c r="AL12" s="12"/>
    </row>
    <row r="13" spans="1:38" s="13" customFormat="1" ht="12.75">
      <c r="A13" s="29" t="s">
        <v>96</v>
      </c>
      <c r="B13" s="60" t="s">
        <v>390</v>
      </c>
      <c r="C13" s="39" t="s">
        <v>391</v>
      </c>
      <c r="D13" s="77">
        <v>131965027</v>
      </c>
      <c r="E13" s="78">
        <v>64861694</v>
      </c>
      <c r="F13" s="79">
        <f t="shared" si="0"/>
        <v>196826721</v>
      </c>
      <c r="G13" s="77">
        <v>148403806</v>
      </c>
      <c r="H13" s="78">
        <v>82525996</v>
      </c>
      <c r="I13" s="80">
        <f t="shared" si="1"/>
        <v>230929802</v>
      </c>
      <c r="J13" s="77">
        <v>10457574</v>
      </c>
      <c r="K13" s="78">
        <v>12406868</v>
      </c>
      <c r="L13" s="78">
        <f t="shared" si="2"/>
        <v>22864442</v>
      </c>
      <c r="M13" s="40">
        <f t="shared" si="3"/>
        <v>0.11616533509187506</v>
      </c>
      <c r="N13" s="105">
        <v>43516599</v>
      </c>
      <c r="O13" s="106">
        <v>15964722</v>
      </c>
      <c r="P13" s="107">
        <f t="shared" si="4"/>
        <v>59481321</v>
      </c>
      <c r="Q13" s="40">
        <f t="shared" si="5"/>
        <v>0.3022014526167918</v>
      </c>
      <c r="R13" s="105">
        <v>37626881</v>
      </c>
      <c r="S13" s="107">
        <v>2784397</v>
      </c>
      <c r="T13" s="107">
        <f t="shared" si="6"/>
        <v>40411278</v>
      </c>
      <c r="U13" s="40">
        <f t="shared" si="7"/>
        <v>0.17499377581417577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91601054</v>
      </c>
      <c r="AA13" s="78">
        <f t="shared" si="11"/>
        <v>31155987</v>
      </c>
      <c r="AB13" s="78">
        <f t="shared" si="12"/>
        <v>122757041</v>
      </c>
      <c r="AC13" s="40">
        <f t="shared" si="13"/>
        <v>0.5315773015732287</v>
      </c>
      <c r="AD13" s="77">
        <v>38555057</v>
      </c>
      <c r="AE13" s="78">
        <v>19141193</v>
      </c>
      <c r="AF13" s="78">
        <f t="shared" si="14"/>
        <v>57696250</v>
      </c>
      <c r="AG13" s="40">
        <f>IF(173340727=0,0,152412595/173340727)</f>
        <v>0.8792659269278362</v>
      </c>
      <c r="AH13" s="40">
        <f t="shared" si="15"/>
        <v>-0.29958570964317444</v>
      </c>
      <c r="AI13" s="12">
        <v>151755815</v>
      </c>
      <c r="AJ13" s="12">
        <v>173340727</v>
      </c>
      <c r="AK13" s="12">
        <v>152412595</v>
      </c>
      <c r="AL13" s="12"/>
    </row>
    <row r="14" spans="1:38" s="13" customFormat="1" ht="12.75">
      <c r="A14" s="29" t="s">
        <v>115</v>
      </c>
      <c r="B14" s="60" t="s">
        <v>392</v>
      </c>
      <c r="C14" s="39" t="s">
        <v>393</v>
      </c>
      <c r="D14" s="77">
        <v>854377377</v>
      </c>
      <c r="E14" s="78">
        <v>528255719</v>
      </c>
      <c r="F14" s="79">
        <f t="shared" si="0"/>
        <v>1382633096</v>
      </c>
      <c r="G14" s="77">
        <v>206627898</v>
      </c>
      <c r="H14" s="78">
        <v>528255719</v>
      </c>
      <c r="I14" s="80">
        <f t="shared" si="1"/>
        <v>734883617</v>
      </c>
      <c r="J14" s="77">
        <v>318321894</v>
      </c>
      <c r="K14" s="78">
        <v>20232584</v>
      </c>
      <c r="L14" s="78">
        <f t="shared" si="2"/>
        <v>338554478</v>
      </c>
      <c r="M14" s="40">
        <f t="shared" si="3"/>
        <v>0.24486212501309892</v>
      </c>
      <c r="N14" s="105">
        <v>274200183</v>
      </c>
      <c r="O14" s="106">
        <v>39318606</v>
      </c>
      <c r="P14" s="107">
        <f t="shared" si="4"/>
        <v>313518789</v>
      </c>
      <c r="Q14" s="40">
        <f t="shared" si="5"/>
        <v>0.22675487076580148</v>
      </c>
      <c r="R14" s="105">
        <v>221817655</v>
      </c>
      <c r="S14" s="107">
        <v>41979761</v>
      </c>
      <c r="T14" s="107">
        <f t="shared" si="6"/>
        <v>263797416</v>
      </c>
      <c r="U14" s="40">
        <f t="shared" si="7"/>
        <v>0.3589648889941167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814339732</v>
      </c>
      <c r="AA14" s="78">
        <f t="shared" si="11"/>
        <v>101530951</v>
      </c>
      <c r="AB14" s="78">
        <f t="shared" si="12"/>
        <v>915870683</v>
      </c>
      <c r="AC14" s="40">
        <f t="shared" si="13"/>
        <v>1.2462799031210408</v>
      </c>
      <c r="AD14" s="77">
        <v>314941822</v>
      </c>
      <c r="AE14" s="78">
        <v>23384238</v>
      </c>
      <c r="AF14" s="78">
        <f t="shared" si="14"/>
        <v>338326060</v>
      </c>
      <c r="AG14" s="40">
        <f>IF(890347267=0,0,589380511/890347267)</f>
        <v>0.661967001915894</v>
      </c>
      <c r="AH14" s="40">
        <f t="shared" si="15"/>
        <v>-0.2202864420198669</v>
      </c>
      <c r="AI14" s="12">
        <v>1613740373</v>
      </c>
      <c r="AJ14" s="12">
        <v>890347267</v>
      </c>
      <c r="AK14" s="12">
        <v>589380511</v>
      </c>
      <c r="AL14" s="12"/>
    </row>
    <row r="15" spans="1:38" s="56" customFormat="1" ht="12.75">
      <c r="A15" s="61"/>
      <c r="B15" s="62" t="s">
        <v>394</v>
      </c>
      <c r="C15" s="32"/>
      <c r="D15" s="81">
        <f>SUM(D9:D14)</f>
        <v>2929397572</v>
      </c>
      <c r="E15" s="82">
        <f>SUM(E9:E14)</f>
        <v>1096502235</v>
      </c>
      <c r="F15" s="90">
        <f t="shared" si="0"/>
        <v>4025899807</v>
      </c>
      <c r="G15" s="81">
        <f>SUM(G9:G14)</f>
        <v>2293541620</v>
      </c>
      <c r="H15" s="82">
        <f>SUM(H9:H14)</f>
        <v>1228734221</v>
      </c>
      <c r="I15" s="83">
        <f t="shared" si="1"/>
        <v>3522275841</v>
      </c>
      <c r="J15" s="81">
        <f>SUM(J9:J14)</f>
        <v>949366471</v>
      </c>
      <c r="K15" s="82">
        <f>SUM(K9:K14)</f>
        <v>127870845</v>
      </c>
      <c r="L15" s="82">
        <f t="shared" si="2"/>
        <v>1077237316</v>
      </c>
      <c r="M15" s="44">
        <f t="shared" si="3"/>
        <v>0.2675767822455399</v>
      </c>
      <c r="N15" s="111">
        <f>SUM(N9:N14)</f>
        <v>799604763</v>
      </c>
      <c r="O15" s="112">
        <f>SUM(O9:O14)</f>
        <v>205299243</v>
      </c>
      <c r="P15" s="113">
        <f t="shared" si="4"/>
        <v>1004904006</v>
      </c>
      <c r="Q15" s="44">
        <f t="shared" si="5"/>
        <v>0.24960979015243537</v>
      </c>
      <c r="R15" s="111">
        <f>SUM(R9:R14)</f>
        <v>674674710</v>
      </c>
      <c r="S15" s="113">
        <f>SUM(S9:S14)</f>
        <v>148335161</v>
      </c>
      <c r="T15" s="113">
        <f t="shared" si="6"/>
        <v>823009871</v>
      </c>
      <c r="U15" s="44">
        <f t="shared" si="7"/>
        <v>0.233658551502412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4">
        <f t="shared" si="9"/>
        <v>0</v>
      </c>
      <c r="Z15" s="81">
        <f t="shared" si="10"/>
        <v>2423645944</v>
      </c>
      <c r="AA15" s="82">
        <f t="shared" si="11"/>
        <v>481505249</v>
      </c>
      <c r="AB15" s="82">
        <f t="shared" si="12"/>
        <v>2905151193</v>
      </c>
      <c r="AC15" s="44">
        <f t="shared" si="13"/>
        <v>0.8247937765644175</v>
      </c>
      <c r="AD15" s="81">
        <f>SUM(AD9:AD14)</f>
        <v>601817426</v>
      </c>
      <c r="AE15" s="82">
        <f>SUM(AE9:AE14)</f>
        <v>123666093</v>
      </c>
      <c r="AF15" s="82">
        <f t="shared" si="14"/>
        <v>725483519</v>
      </c>
      <c r="AG15" s="44">
        <f>IF(890347267=0,0,589380511/890347267)</f>
        <v>0.661967001915894</v>
      </c>
      <c r="AH15" s="44">
        <f t="shared" si="15"/>
        <v>0.13442945214583157</v>
      </c>
      <c r="AI15" s="63">
        <f>SUM(AI9:AI14)</f>
        <v>3917233076</v>
      </c>
      <c r="AJ15" s="63">
        <f>SUM(AJ9:AJ14)</f>
        <v>3414302769</v>
      </c>
      <c r="AK15" s="63">
        <f>SUM(AK9:AK14)</f>
        <v>2177273838</v>
      </c>
      <c r="AL15" s="63"/>
    </row>
    <row r="16" spans="1:38" s="13" customFormat="1" ht="12.75">
      <c r="A16" s="29" t="s">
        <v>96</v>
      </c>
      <c r="B16" s="60" t="s">
        <v>395</v>
      </c>
      <c r="C16" s="39" t="s">
        <v>396</v>
      </c>
      <c r="D16" s="77">
        <v>228643000</v>
      </c>
      <c r="E16" s="78">
        <v>29293000</v>
      </c>
      <c r="F16" s="79">
        <f t="shared" si="0"/>
        <v>257936000</v>
      </c>
      <c r="G16" s="77">
        <v>228643000</v>
      </c>
      <c r="H16" s="78">
        <v>29293000</v>
      </c>
      <c r="I16" s="80">
        <f t="shared" si="1"/>
        <v>257936000</v>
      </c>
      <c r="J16" s="77">
        <v>62743063</v>
      </c>
      <c r="K16" s="78">
        <v>3280118</v>
      </c>
      <c r="L16" s="78">
        <f t="shared" si="2"/>
        <v>66023181</v>
      </c>
      <c r="M16" s="40">
        <f t="shared" si="3"/>
        <v>0.25596729808944857</v>
      </c>
      <c r="N16" s="105">
        <v>55808201</v>
      </c>
      <c r="O16" s="106">
        <v>5196600</v>
      </c>
      <c r="P16" s="107">
        <f t="shared" si="4"/>
        <v>61004801</v>
      </c>
      <c r="Q16" s="40">
        <f t="shared" si="5"/>
        <v>0.23651138654549966</v>
      </c>
      <c r="R16" s="105">
        <v>37995044</v>
      </c>
      <c r="S16" s="107">
        <v>2814941</v>
      </c>
      <c r="T16" s="107">
        <f t="shared" si="6"/>
        <v>40809985</v>
      </c>
      <c r="U16" s="40">
        <f t="shared" si="7"/>
        <v>0.1582174841821227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156546308</v>
      </c>
      <c r="AA16" s="78">
        <f t="shared" si="11"/>
        <v>11291659</v>
      </c>
      <c r="AB16" s="78">
        <f t="shared" si="12"/>
        <v>167837967</v>
      </c>
      <c r="AC16" s="40">
        <f t="shared" si="13"/>
        <v>0.6506961688170709</v>
      </c>
      <c r="AD16" s="77">
        <v>52457108</v>
      </c>
      <c r="AE16" s="78">
        <v>3267483</v>
      </c>
      <c r="AF16" s="78">
        <f t="shared" si="14"/>
        <v>55724591</v>
      </c>
      <c r="AG16" s="40">
        <f>IF(238685497=0,0,233195297/238685497)</f>
        <v>0.9769981835134289</v>
      </c>
      <c r="AH16" s="40">
        <f t="shared" si="15"/>
        <v>-0.26764855035005997</v>
      </c>
      <c r="AI16" s="12">
        <v>216683000</v>
      </c>
      <c r="AJ16" s="12">
        <v>238685497</v>
      </c>
      <c r="AK16" s="12">
        <v>233195297</v>
      </c>
      <c r="AL16" s="12"/>
    </row>
    <row r="17" spans="1:38" s="13" customFormat="1" ht="12.75">
      <c r="A17" s="29" t="s">
        <v>96</v>
      </c>
      <c r="B17" s="60" t="s">
        <v>397</v>
      </c>
      <c r="C17" s="39" t="s">
        <v>398</v>
      </c>
      <c r="D17" s="77">
        <v>105110450</v>
      </c>
      <c r="E17" s="78">
        <v>32076797</v>
      </c>
      <c r="F17" s="79">
        <f t="shared" si="0"/>
        <v>137187247</v>
      </c>
      <c r="G17" s="77">
        <v>108188077</v>
      </c>
      <c r="H17" s="78">
        <v>45334971</v>
      </c>
      <c r="I17" s="80">
        <f t="shared" si="1"/>
        <v>153523048</v>
      </c>
      <c r="J17" s="77">
        <v>40589958</v>
      </c>
      <c r="K17" s="78">
        <v>6725467</v>
      </c>
      <c r="L17" s="78">
        <f t="shared" si="2"/>
        <v>47315425</v>
      </c>
      <c r="M17" s="40">
        <f t="shared" si="3"/>
        <v>0.34489667250192724</v>
      </c>
      <c r="N17" s="105">
        <v>31991219</v>
      </c>
      <c r="O17" s="106">
        <v>7193907</v>
      </c>
      <c r="P17" s="107">
        <f t="shared" si="4"/>
        <v>39185126</v>
      </c>
      <c r="Q17" s="40">
        <f t="shared" si="5"/>
        <v>0.2856324247107313</v>
      </c>
      <c r="R17" s="105">
        <v>24215852</v>
      </c>
      <c r="S17" s="107">
        <v>1755871</v>
      </c>
      <c r="T17" s="107">
        <f t="shared" si="6"/>
        <v>25971723</v>
      </c>
      <c r="U17" s="40">
        <f t="shared" si="7"/>
        <v>0.16917149143625654</v>
      </c>
      <c r="V17" s="105">
        <v>0</v>
      </c>
      <c r="W17" s="107">
        <v>0</v>
      </c>
      <c r="X17" s="107">
        <f t="shared" si="8"/>
        <v>0</v>
      </c>
      <c r="Y17" s="40">
        <f t="shared" si="9"/>
        <v>0</v>
      </c>
      <c r="Z17" s="77">
        <f t="shared" si="10"/>
        <v>96797029</v>
      </c>
      <c r="AA17" s="78">
        <f t="shared" si="11"/>
        <v>15675245</v>
      </c>
      <c r="AB17" s="78">
        <f t="shared" si="12"/>
        <v>112472274</v>
      </c>
      <c r="AC17" s="40">
        <f t="shared" si="13"/>
        <v>0.7326083963627402</v>
      </c>
      <c r="AD17" s="77">
        <v>18579462</v>
      </c>
      <c r="AE17" s="78">
        <v>4066097</v>
      </c>
      <c r="AF17" s="78">
        <f t="shared" si="14"/>
        <v>22645559</v>
      </c>
      <c r="AG17" s="40">
        <f>IF(116470793=0,0,90037515/116470793)</f>
        <v>0.7730480121312474</v>
      </c>
      <c r="AH17" s="40">
        <f t="shared" si="15"/>
        <v>0.14687930644591285</v>
      </c>
      <c r="AI17" s="12">
        <v>115662698</v>
      </c>
      <c r="AJ17" s="12">
        <v>116470793</v>
      </c>
      <c r="AK17" s="12">
        <v>90037515</v>
      </c>
      <c r="AL17" s="12"/>
    </row>
    <row r="18" spans="1:38" s="13" customFormat="1" ht="12.75">
      <c r="A18" s="29" t="s">
        <v>96</v>
      </c>
      <c r="B18" s="60" t="s">
        <v>399</v>
      </c>
      <c r="C18" s="39" t="s">
        <v>400</v>
      </c>
      <c r="D18" s="77">
        <v>737790822</v>
      </c>
      <c r="E18" s="78">
        <v>312420000</v>
      </c>
      <c r="F18" s="79">
        <f t="shared" si="0"/>
        <v>1050210822</v>
      </c>
      <c r="G18" s="77">
        <v>691781617</v>
      </c>
      <c r="H18" s="78">
        <v>312330424</v>
      </c>
      <c r="I18" s="80">
        <f t="shared" si="1"/>
        <v>1004112041</v>
      </c>
      <c r="J18" s="77">
        <v>238714315</v>
      </c>
      <c r="K18" s="78">
        <v>43621986</v>
      </c>
      <c r="L18" s="78">
        <f t="shared" si="2"/>
        <v>282336301</v>
      </c>
      <c r="M18" s="40">
        <f t="shared" si="3"/>
        <v>0.26883773722910653</v>
      </c>
      <c r="N18" s="105">
        <v>203446626</v>
      </c>
      <c r="O18" s="106">
        <v>73580876</v>
      </c>
      <c r="P18" s="107">
        <f t="shared" si="4"/>
        <v>277027502</v>
      </c>
      <c r="Q18" s="40">
        <f t="shared" si="5"/>
        <v>0.2637827531356366</v>
      </c>
      <c r="R18" s="105">
        <v>409160265</v>
      </c>
      <c r="S18" s="107">
        <v>46653683</v>
      </c>
      <c r="T18" s="107">
        <f t="shared" si="6"/>
        <v>455813948</v>
      </c>
      <c r="U18" s="40">
        <f t="shared" si="7"/>
        <v>0.45394729809838025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851321206</v>
      </c>
      <c r="AA18" s="78">
        <f t="shared" si="11"/>
        <v>163856545</v>
      </c>
      <c r="AB18" s="78">
        <f t="shared" si="12"/>
        <v>1015177751</v>
      </c>
      <c r="AC18" s="40">
        <f t="shared" si="13"/>
        <v>1.0110203936893134</v>
      </c>
      <c r="AD18" s="77">
        <v>134737090</v>
      </c>
      <c r="AE18" s="78">
        <v>65500005</v>
      </c>
      <c r="AF18" s="78">
        <f t="shared" si="14"/>
        <v>200237095</v>
      </c>
      <c r="AG18" s="40">
        <f>IF(943601595=0,0,605582161/943601595)</f>
        <v>0.6417773816925352</v>
      </c>
      <c r="AH18" s="40">
        <f t="shared" si="15"/>
        <v>1.2763711589004028</v>
      </c>
      <c r="AI18" s="12">
        <v>1076043422</v>
      </c>
      <c r="AJ18" s="12">
        <v>943601595</v>
      </c>
      <c r="AK18" s="12">
        <v>605582161</v>
      </c>
      <c r="AL18" s="12"/>
    </row>
    <row r="19" spans="1:38" s="13" customFormat="1" ht="12.75">
      <c r="A19" s="29" t="s">
        <v>96</v>
      </c>
      <c r="B19" s="60" t="s">
        <v>401</v>
      </c>
      <c r="C19" s="39" t="s">
        <v>402</v>
      </c>
      <c r="D19" s="77">
        <v>751592195</v>
      </c>
      <c r="E19" s="78">
        <v>163938000</v>
      </c>
      <c r="F19" s="79">
        <f t="shared" si="0"/>
        <v>915530195</v>
      </c>
      <c r="G19" s="77">
        <v>751592195</v>
      </c>
      <c r="H19" s="78">
        <v>168290000</v>
      </c>
      <c r="I19" s="80">
        <f t="shared" si="1"/>
        <v>919882195</v>
      </c>
      <c r="J19" s="77">
        <v>229291330</v>
      </c>
      <c r="K19" s="78">
        <v>25988489</v>
      </c>
      <c r="L19" s="78">
        <f t="shared" si="2"/>
        <v>255279819</v>
      </c>
      <c r="M19" s="40">
        <f t="shared" si="3"/>
        <v>0.27883276859044503</v>
      </c>
      <c r="N19" s="105">
        <v>218054266</v>
      </c>
      <c r="O19" s="106">
        <v>69184213</v>
      </c>
      <c r="P19" s="107">
        <f t="shared" si="4"/>
        <v>287238479</v>
      </c>
      <c r="Q19" s="40">
        <f t="shared" si="5"/>
        <v>0.3137400389071821</v>
      </c>
      <c r="R19" s="105">
        <v>61985144</v>
      </c>
      <c r="S19" s="107">
        <v>9670634</v>
      </c>
      <c r="T19" s="107">
        <f t="shared" si="6"/>
        <v>71655778</v>
      </c>
      <c r="U19" s="40">
        <f t="shared" si="7"/>
        <v>0.07789668980385037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509330740</v>
      </c>
      <c r="AA19" s="78">
        <f t="shared" si="11"/>
        <v>104843336</v>
      </c>
      <c r="AB19" s="78">
        <f t="shared" si="12"/>
        <v>614174076</v>
      </c>
      <c r="AC19" s="40">
        <f t="shared" si="13"/>
        <v>0.6676660112983271</v>
      </c>
      <c r="AD19" s="77">
        <v>81209854</v>
      </c>
      <c r="AE19" s="78">
        <v>22393373</v>
      </c>
      <c r="AF19" s="78">
        <f t="shared" si="14"/>
        <v>103603227</v>
      </c>
      <c r="AG19" s="40">
        <f>IF(838682000=0,0,533253850/838682000)</f>
        <v>0.6358236494881254</v>
      </c>
      <c r="AH19" s="40">
        <f t="shared" si="15"/>
        <v>-0.3083634547406521</v>
      </c>
      <c r="AI19" s="12">
        <v>807163000</v>
      </c>
      <c r="AJ19" s="12">
        <v>838682000</v>
      </c>
      <c r="AK19" s="12">
        <v>533253850</v>
      </c>
      <c r="AL19" s="12"/>
    </row>
    <row r="20" spans="1:38" s="13" customFormat="1" ht="12.75">
      <c r="A20" s="29" t="s">
        <v>115</v>
      </c>
      <c r="B20" s="60" t="s">
        <v>403</v>
      </c>
      <c r="C20" s="39" t="s">
        <v>404</v>
      </c>
      <c r="D20" s="77">
        <v>901784950</v>
      </c>
      <c r="E20" s="78">
        <v>839573993</v>
      </c>
      <c r="F20" s="79">
        <f t="shared" si="0"/>
        <v>1741358943</v>
      </c>
      <c r="G20" s="77">
        <v>839376594</v>
      </c>
      <c r="H20" s="78">
        <v>839573993</v>
      </c>
      <c r="I20" s="80">
        <f t="shared" si="1"/>
        <v>1678950587</v>
      </c>
      <c r="J20" s="77">
        <v>305591312</v>
      </c>
      <c r="K20" s="78">
        <v>29315114</v>
      </c>
      <c r="L20" s="78">
        <f t="shared" si="2"/>
        <v>334906426</v>
      </c>
      <c r="M20" s="40">
        <f t="shared" si="3"/>
        <v>0.19232475150874165</v>
      </c>
      <c r="N20" s="105">
        <v>96989760</v>
      </c>
      <c r="O20" s="106">
        <v>43192307</v>
      </c>
      <c r="P20" s="107">
        <f t="shared" si="4"/>
        <v>140182067</v>
      </c>
      <c r="Q20" s="40">
        <f t="shared" si="5"/>
        <v>0.08050153448461085</v>
      </c>
      <c r="R20" s="105">
        <v>98180064</v>
      </c>
      <c r="S20" s="107">
        <v>69669184</v>
      </c>
      <c r="T20" s="107">
        <f t="shared" si="6"/>
        <v>167849248</v>
      </c>
      <c r="U20" s="40">
        <f t="shared" si="7"/>
        <v>0.0999727146824006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500761136</v>
      </c>
      <c r="AA20" s="78">
        <f t="shared" si="11"/>
        <v>142176605</v>
      </c>
      <c r="AB20" s="78">
        <f t="shared" si="12"/>
        <v>642937741</v>
      </c>
      <c r="AC20" s="40">
        <f t="shared" si="13"/>
        <v>0.38294024015847944</v>
      </c>
      <c r="AD20" s="77">
        <v>199402058</v>
      </c>
      <c r="AE20" s="78">
        <v>108881967</v>
      </c>
      <c r="AF20" s="78">
        <f t="shared" si="14"/>
        <v>308284025</v>
      </c>
      <c r="AG20" s="40">
        <f>IF(1510614540=0,0,852295217/1510614540)</f>
        <v>0.5642042986028719</v>
      </c>
      <c r="AH20" s="40">
        <f t="shared" si="15"/>
        <v>-0.45553699060468666</v>
      </c>
      <c r="AI20" s="12">
        <v>1459683936</v>
      </c>
      <c r="AJ20" s="12">
        <v>1510614540</v>
      </c>
      <c r="AK20" s="12">
        <v>852295217</v>
      </c>
      <c r="AL20" s="12"/>
    </row>
    <row r="21" spans="1:38" s="56" customFormat="1" ht="12.75">
      <c r="A21" s="61"/>
      <c r="B21" s="62" t="s">
        <v>405</v>
      </c>
      <c r="C21" s="32"/>
      <c r="D21" s="81">
        <f>SUM(D16:D20)</f>
        <v>2724921417</v>
      </c>
      <c r="E21" s="82">
        <f>SUM(E16:E20)</f>
        <v>1377301790</v>
      </c>
      <c r="F21" s="83">
        <f t="shared" si="0"/>
        <v>4102223207</v>
      </c>
      <c r="G21" s="81">
        <f>SUM(G16:G20)</f>
        <v>2619581483</v>
      </c>
      <c r="H21" s="82">
        <f>SUM(H16:H20)</f>
        <v>1394822388</v>
      </c>
      <c r="I21" s="83">
        <f t="shared" si="1"/>
        <v>4014403871</v>
      </c>
      <c r="J21" s="81">
        <f>SUM(J16:J20)</f>
        <v>876929978</v>
      </c>
      <c r="K21" s="82">
        <f>SUM(K16:K20)</f>
        <v>108931174</v>
      </c>
      <c r="L21" s="82">
        <f t="shared" si="2"/>
        <v>985861152</v>
      </c>
      <c r="M21" s="44">
        <f t="shared" si="3"/>
        <v>0.24032362508157395</v>
      </c>
      <c r="N21" s="111">
        <f>SUM(N16:N20)</f>
        <v>606290072</v>
      </c>
      <c r="O21" s="112">
        <f>SUM(O16:O20)</f>
        <v>198347903</v>
      </c>
      <c r="P21" s="113">
        <f t="shared" si="4"/>
        <v>804637975</v>
      </c>
      <c r="Q21" s="44">
        <f t="shared" si="5"/>
        <v>0.19614680489032688</v>
      </c>
      <c r="R21" s="111">
        <f>SUM(R16:R20)</f>
        <v>631536369</v>
      </c>
      <c r="S21" s="113">
        <f>SUM(S16:S20)</f>
        <v>130564313</v>
      </c>
      <c r="T21" s="113">
        <f t="shared" si="6"/>
        <v>762100682</v>
      </c>
      <c r="U21" s="44">
        <f t="shared" si="7"/>
        <v>0.18984155717500303</v>
      </c>
      <c r="V21" s="111">
        <f>SUM(V16:V20)</f>
        <v>0</v>
      </c>
      <c r="W21" s="113">
        <f>SUM(W16:W20)</f>
        <v>0</v>
      </c>
      <c r="X21" s="113">
        <f t="shared" si="8"/>
        <v>0</v>
      </c>
      <c r="Y21" s="44">
        <f t="shared" si="9"/>
        <v>0</v>
      </c>
      <c r="Z21" s="81">
        <f t="shared" si="10"/>
        <v>2114756419</v>
      </c>
      <c r="AA21" s="82">
        <f t="shared" si="11"/>
        <v>437843390</v>
      </c>
      <c r="AB21" s="82">
        <f t="shared" si="12"/>
        <v>2552599809</v>
      </c>
      <c r="AC21" s="44">
        <f t="shared" si="13"/>
        <v>0.635860240032137</v>
      </c>
      <c r="AD21" s="81">
        <f>SUM(AD16:AD20)</f>
        <v>486385572</v>
      </c>
      <c r="AE21" s="82">
        <f>SUM(AE16:AE20)</f>
        <v>204108925</v>
      </c>
      <c r="AF21" s="82">
        <f t="shared" si="14"/>
        <v>690494497</v>
      </c>
      <c r="AG21" s="44">
        <f>IF(1510614540=0,0,852295217/1510614540)</f>
        <v>0.5642042986028719</v>
      </c>
      <c r="AH21" s="44">
        <f t="shared" si="15"/>
        <v>0.10370275984980082</v>
      </c>
      <c r="AI21" s="63">
        <f>SUM(AI16:AI20)</f>
        <v>3675236056</v>
      </c>
      <c r="AJ21" s="63">
        <f>SUM(AJ16:AJ20)</f>
        <v>3648054425</v>
      </c>
      <c r="AK21" s="63">
        <f>SUM(AK16:AK20)</f>
        <v>2314364040</v>
      </c>
      <c r="AL21" s="63"/>
    </row>
    <row r="22" spans="1:38" s="13" customFormat="1" ht="12.75">
      <c r="A22" s="29" t="s">
        <v>96</v>
      </c>
      <c r="B22" s="60" t="s">
        <v>406</v>
      </c>
      <c r="C22" s="39" t="s">
        <v>407</v>
      </c>
      <c r="D22" s="77">
        <v>202498708</v>
      </c>
      <c r="E22" s="78">
        <v>56711558</v>
      </c>
      <c r="F22" s="79">
        <f t="shared" si="0"/>
        <v>259210266</v>
      </c>
      <c r="G22" s="77">
        <v>210799266</v>
      </c>
      <c r="H22" s="78">
        <v>56711558</v>
      </c>
      <c r="I22" s="80">
        <f t="shared" si="1"/>
        <v>267510824</v>
      </c>
      <c r="J22" s="77">
        <v>87613273</v>
      </c>
      <c r="K22" s="78">
        <v>8504472</v>
      </c>
      <c r="L22" s="78">
        <f t="shared" si="2"/>
        <v>96117745</v>
      </c>
      <c r="M22" s="40">
        <f t="shared" si="3"/>
        <v>0.3708099470103549</v>
      </c>
      <c r="N22" s="105">
        <v>6656029</v>
      </c>
      <c r="O22" s="106">
        <v>28102498</v>
      </c>
      <c r="P22" s="107">
        <f t="shared" si="4"/>
        <v>34758527</v>
      </c>
      <c r="Q22" s="40">
        <f t="shared" si="5"/>
        <v>0.13409394441190844</v>
      </c>
      <c r="R22" s="105">
        <v>93012360</v>
      </c>
      <c r="S22" s="107">
        <v>8849347</v>
      </c>
      <c r="T22" s="107">
        <f t="shared" si="6"/>
        <v>101861707</v>
      </c>
      <c r="U22" s="40">
        <f t="shared" si="7"/>
        <v>0.3807760204873056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187281662</v>
      </c>
      <c r="AA22" s="78">
        <f t="shared" si="11"/>
        <v>45456317</v>
      </c>
      <c r="AB22" s="78">
        <f t="shared" si="12"/>
        <v>232737979</v>
      </c>
      <c r="AC22" s="40">
        <f t="shared" si="13"/>
        <v>0.8700133157976442</v>
      </c>
      <c r="AD22" s="77">
        <v>38739466</v>
      </c>
      <c r="AE22" s="78">
        <v>8364163</v>
      </c>
      <c r="AF22" s="78">
        <f t="shared" si="14"/>
        <v>47103629</v>
      </c>
      <c r="AG22" s="40">
        <f>IF(227101516=0,0,177313568/227101516)</f>
        <v>0.7807678747507788</v>
      </c>
      <c r="AH22" s="40">
        <f t="shared" si="15"/>
        <v>1.1625023201503222</v>
      </c>
      <c r="AI22" s="12">
        <v>211854742</v>
      </c>
      <c r="AJ22" s="12">
        <v>227101516</v>
      </c>
      <c r="AK22" s="12">
        <v>177313568</v>
      </c>
      <c r="AL22" s="12"/>
    </row>
    <row r="23" spans="1:38" s="13" customFormat="1" ht="12.75">
      <c r="A23" s="29" t="s">
        <v>96</v>
      </c>
      <c r="B23" s="60" t="s">
        <v>408</v>
      </c>
      <c r="C23" s="39" t="s">
        <v>409</v>
      </c>
      <c r="D23" s="77">
        <v>114695569</v>
      </c>
      <c r="E23" s="78">
        <v>66912981</v>
      </c>
      <c r="F23" s="79">
        <f t="shared" si="0"/>
        <v>181608550</v>
      </c>
      <c r="G23" s="77">
        <v>114695569</v>
      </c>
      <c r="H23" s="78">
        <v>66912981</v>
      </c>
      <c r="I23" s="80">
        <f t="shared" si="1"/>
        <v>181608550</v>
      </c>
      <c r="J23" s="77">
        <v>43606047</v>
      </c>
      <c r="K23" s="78">
        <v>8312161</v>
      </c>
      <c r="L23" s="78">
        <f t="shared" si="2"/>
        <v>51918208</v>
      </c>
      <c r="M23" s="40">
        <f t="shared" si="3"/>
        <v>0.2858797562119184</v>
      </c>
      <c r="N23" s="105">
        <v>40581611</v>
      </c>
      <c r="O23" s="106">
        <v>8312039</v>
      </c>
      <c r="P23" s="107">
        <f t="shared" si="4"/>
        <v>48893650</v>
      </c>
      <c r="Q23" s="40">
        <f t="shared" si="5"/>
        <v>0.2692254852538606</v>
      </c>
      <c r="R23" s="105">
        <v>16592286</v>
      </c>
      <c r="S23" s="107">
        <v>11467048</v>
      </c>
      <c r="T23" s="107">
        <f t="shared" si="6"/>
        <v>28059334</v>
      </c>
      <c r="U23" s="40">
        <f t="shared" si="7"/>
        <v>0.15450447679913748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100779944</v>
      </c>
      <c r="AA23" s="78">
        <f t="shared" si="11"/>
        <v>28091248</v>
      </c>
      <c r="AB23" s="78">
        <f t="shared" si="12"/>
        <v>128871192</v>
      </c>
      <c r="AC23" s="40">
        <f t="shared" si="13"/>
        <v>0.7096097182649165</v>
      </c>
      <c r="AD23" s="77">
        <v>14931501</v>
      </c>
      <c r="AE23" s="78">
        <v>4353772</v>
      </c>
      <c r="AF23" s="78">
        <f t="shared" si="14"/>
        <v>19285273</v>
      </c>
      <c r="AG23" s="40">
        <f>IF(173930592=0,0,99443497/173930592)</f>
        <v>0.57174241665319</v>
      </c>
      <c r="AH23" s="40">
        <f t="shared" si="15"/>
        <v>0.454961721309312</v>
      </c>
      <c r="AI23" s="12">
        <v>155115841</v>
      </c>
      <c r="AJ23" s="12">
        <v>173930592</v>
      </c>
      <c r="AK23" s="12">
        <v>99443497</v>
      </c>
      <c r="AL23" s="12"/>
    </row>
    <row r="24" spans="1:38" s="13" customFormat="1" ht="12.75">
      <c r="A24" s="29" t="s">
        <v>96</v>
      </c>
      <c r="B24" s="60" t="s">
        <v>410</v>
      </c>
      <c r="C24" s="39" t="s">
        <v>411</v>
      </c>
      <c r="D24" s="77">
        <v>151248432</v>
      </c>
      <c r="E24" s="78">
        <v>49277000</v>
      </c>
      <c r="F24" s="79">
        <f t="shared" si="0"/>
        <v>200525432</v>
      </c>
      <c r="G24" s="77">
        <v>151948449</v>
      </c>
      <c r="H24" s="78">
        <v>51291447</v>
      </c>
      <c r="I24" s="80">
        <f t="shared" si="1"/>
        <v>203239896</v>
      </c>
      <c r="J24" s="77">
        <v>51235630</v>
      </c>
      <c r="K24" s="78">
        <v>2419772</v>
      </c>
      <c r="L24" s="78">
        <f t="shared" si="2"/>
        <v>53655402</v>
      </c>
      <c r="M24" s="40">
        <f t="shared" si="3"/>
        <v>0.26757405015838587</v>
      </c>
      <c r="N24" s="105">
        <v>43875499</v>
      </c>
      <c r="O24" s="106">
        <v>12289313</v>
      </c>
      <c r="P24" s="107">
        <f t="shared" si="4"/>
        <v>56164812</v>
      </c>
      <c r="Q24" s="40">
        <f t="shared" si="5"/>
        <v>0.28008822342295214</v>
      </c>
      <c r="R24" s="105">
        <v>34558123</v>
      </c>
      <c r="S24" s="107">
        <v>9646974</v>
      </c>
      <c r="T24" s="107">
        <f t="shared" si="6"/>
        <v>44205097</v>
      </c>
      <c r="U24" s="40">
        <f t="shared" si="7"/>
        <v>0.21750206465368394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129669252</v>
      </c>
      <c r="AA24" s="78">
        <f t="shared" si="11"/>
        <v>24356059</v>
      </c>
      <c r="AB24" s="78">
        <f t="shared" si="12"/>
        <v>154025311</v>
      </c>
      <c r="AC24" s="40">
        <f t="shared" si="13"/>
        <v>0.757849782603707</v>
      </c>
      <c r="AD24" s="77">
        <v>31562916</v>
      </c>
      <c r="AE24" s="78">
        <v>7029368</v>
      </c>
      <c r="AF24" s="78">
        <f t="shared" si="14"/>
        <v>38592284</v>
      </c>
      <c r="AG24" s="40">
        <f>IF(179346860=0,0,129859886/179346860)</f>
        <v>0.724071143481408</v>
      </c>
      <c r="AH24" s="40">
        <f t="shared" si="15"/>
        <v>0.1454387358882412</v>
      </c>
      <c r="AI24" s="12">
        <v>168220420</v>
      </c>
      <c r="AJ24" s="12">
        <v>179346860</v>
      </c>
      <c r="AK24" s="12">
        <v>129859886</v>
      </c>
      <c r="AL24" s="12"/>
    </row>
    <row r="25" spans="1:38" s="13" customFormat="1" ht="12.75">
      <c r="A25" s="29" t="s">
        <v>96</v>
      </c>
      <c r="B25" s="60" t="s">
        <v>80</v>
      </c>
      <c r="C25" s="39" t="s">
        <v>81</v>
      </c>
      <c r="D25" s="77">
        <v>2404462999</v>
      </c>
      <c r="E25" s="78">
        <v>580121000</v>
      </c>
      <c r="F25" s="79">
        <f t="shared" si="0"/>
        <v>2984583999</v>
      </c>
      <c r="G25" s="77">
        <v>2253985131</v>
      </c>
      <c r="H25" s="78">
        <v>626285336</v>
      </c>
      <c r="I25" s="80">
        <f t="shared" si="1"/>
        <v>2880270467</v>
      </c>
      <c r="J25" s="77">
        <v>621553068</v>
      </c>
      <c r="K25" s="78">
        <v>49932781</v>
      </c>
      <c r="L25" s="78">
        <f t="shared" si="2"/>
        <v>671485849</v>
      </c>
      <c r="M25" s="40">
        <f t="shared" si="3"/>
        <v>0.2249847379819046</v>
      </c>
      <c r="N25" s="105">
        <v>443576238</v>
      </c>
      <c r="O25" s="106">
        <v>109444011</v>
      </c>
      <c r="P25" s="107">
        <f t="shared" si="4"/>
        <v>553020249</v>
      </c>
      <c r="Q25" s="40">
        <f t="shared" si="5"/>
        <v>0.18529223810932854</v>
      </c>
      <c r="R25" s="105">
        <v>658803033</v>
      </c>
      <c r="S25" s="107">
        <v>159573655</v>
      </c>
      <c r="T25" s="107">
        <f t="shared" si="6"/>
        <v>818376688</v>
      </c>
      <c r="U25" s="40">
        <f t="shared" si="7"/>
        <v>0.2841318887848736</v>
      </c>
      <c r="V25" s="105">
        <v>0</v>
      </c>
      <c r="W25" s="107">
        <v>0</v>
      </c>
      <c r="X25" s="107">
        <f t="shared" si="8"/>
        <v>0</v>
      </c>
      <c r="Y25" s="40">
        <f t="shared" si="9"/>
        <v>0</v>
      </c>
      <c r="Z25" s="77">
        <f t="shared" si="10"/>
        <v>1723932339</v>
      </c>
      <c r="AA25" s="78">
        <f t="shared" si="11"/>
        <v>318950447</v>
      </c>
      <c r="AB25" s="78">
        <f t="shared" si="12"/>
        <v>2042882786</v>
      </c>
      <c r="AC25" s="40">
        <f t="shared" si="13"/>
        <v>0.7092676918386082</v>
      </c>
      <c r="AD25" s="77">
        <v>445100598</v>
      </c>
      <c r="AE25" s="78">
        <v>98138532</v>
      </c>
      <c r="AF25" s="78">
        <f t="shared" si="14"/>
        <v>543239130</v>
      </c>
      <c r="AG25" s="40">
        <f>IF(2988004000=0,0,1804545407/2988004000)</f>
        <v>0.6039300506291156</v>
      </c>
      <c r="AH25" s="40">
        <f t="shared" si="15"/>
        <v>0.506475956546061</v>
      </c>
      <c r="AI25" s="12">
        <v>2746848000</v>
      </c>
      <c r="AJ25" s="12">
        <v>2988004000</v>
      </c>
      <c r="AK25" s="12">
        <v>1804545407</v>
      </c>
      <c r="AL25" s="12"/>
    </row>
    <row r="26" spans="1:38" s="13" customFormat="1" ht="12.75">
      <c r="A26" s="29" t="s">
        <v>96</v>
      </c>
      <c r="B26" s="60" t="s">
        <v>412</v>
      </c>
      <c r="C26" s="39" t="s">
        <v>413</v>
      </c>
      <c r="D26" s="77">
        <v>345475177</v>
      </c>
      <c r="E26" s="78">
        <v>129612150</v>
      </c>
      <c r="F26" s="79">
        <f t="shared" si="0"/>
        <v>475087327</v>
      </c>
      <c r="G26" s="77">
        <v>345475177</v>
      </c>
      <c r="H26" s="78">
        <v>129612150</v>
      </c>
      <c r="I26" s="80">
        <f t="shared" si="1"/>
        <v>475087327</v>
      </c>
      <c r="J26" s="77">
        <v>111537931</v>
      </c>
      <c r="K26" s="78">
        <v>5303719</v>
      </c>
      <c r="L26" s="78">
        <f t="shared" si="2"/>
        <v>116841650</v>
      </c>
      <c r="M26" s="40">
        <f t="shared" si="3"/>
        <v>0.2459372064033188</v>
      </c>
      <c r="N26" s="105">
        <v>62025632</v>
      </c>
      <c r="O26" s="106">
        <v>12932585</v>
      </c>
      <c r="P26" s="107">
        <f t="shared" si="4"/>
        <v>74958217</v>
      </c>
      <c r="Q26" s="40">
        <f t="shared" si="5"/>
        <v>0.15777776577062852</v>
      </c>
      <c r="R26" s="105">
        <v>102183353</v>
      </c>
      <c r="S26" s="107">
        <v>17223442</v>
      </c>
      <c r="T26" s="107">
        <f t="shared" si="6"/>
        <v>119406795</v>
      </c>
      <c r="U26" s="40">
        <f t="shared" si="7"/>
        <v>0.2513365190227438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275746916</v>
      </c>
      <c r="AA26" s="78">
        <f t="shared" si="11"/>
        <v>35459746</v>
      </c>
      <c r="AB26" s="78">
        <f t="shared" si="12"/>
        <v>311206662</v>
      </c>
      <c r="AC26" s="40">
        <f t="shared" si="13"/>
        <v>0.655051491196691</v>
      </c>
      <c r="AD26" s="77">
        <v>68676185</v>
      </c>
      <c r="AE26" s="78">
        <v>6370257</v>
      </c>
      <c r="AF26" s="78">
        <f t="shared" si="14"/>
        <v>75046442</v>
      </c>
      <c r="AG26" s="40">
        <f>IF(409781658=0,0,266758277/409781658)</f>
        <v>0.6509766159421415</v>
      </c>
      <c r="AH26" s="40">
        <f t="shared" si="15"/>
        <v>0.591105345140813</v>
      </c>
      <c r="AI26" s="12">
        <v>400451294</v>
      </c>
      <c r="AJ26" s="12">
        <v>409781658</v>
      </c>
      <c r="AK26" s="12">
        <v>266758277</v>
      </c>
      <c r="AL26" s="12"/>
    </row>
    <row r="27" spans="1:38" s="13" customFormat="1" ht="12.75">
      <c r="A27" s="29" t="s">
        <v>115</v>
      </c>
      <c r="B27" s="60" t="s">
        <v>414</v>
      </c>
      <c r="C27" s="39" t="s">
        <v>415</v>
      </c>
      <c r="D27" s="77">
        <v>627286000</v>
      </c>
      <c r="E27" s="78">
        <v>301632000</v>
      </c>
      <c r="F27" s="79">
        <f t="shared" si="0"/>
        <v>928918000</v>
      </c>
      <c r="G27" s="77">
        <v>670571791</v>
      </c>
      <c r="H27" s="78">
        <v>332466616</v>
      </c>
      <c r="I27" s="80">
        <f t="shared" si="1"/>
        <v>1003038407</v>
      </c>
      <c r="J27" s="77">
        <v>220027616</v>
      </c>
      <c r="K27" s="78">
        <v>34384963</v>
      </c>
      <c r="L27" s="78">
        <f t="shared" si="2"/>
        <v>254412579</v>
      </c>
      <c r="M27" s="40">
        <f t="shared" si="3"/>
        <v>0.2738805567337483</v>
      </c>
      <c r="N27" s="105">
        <v>129444550</v>
      </c>
      <c r="O27" s="106">
        <v>71574838</v>
      </c>
      <c r="P27" s="107">
        <f t="shared" si="4"/>
        <v>201019388</v>
      </c>
      <c r="Q27" s="40">
        <f t="shared" si="5"/>
        <v>0.21640165009182727</v>
      </c>
      <c r="R27" s="105">
        <v>137729663</v>
      </c>
      <c r="S27" s="107">
        <v>117514043</v>
      </c>
      <c r="T27" s="107">
        <f t="shared" si="6"/>
        <v>255243706</v>
      </c>
      <c r="U27" s="40">
        <f t="shared" si="7"/>
        <v>0.2544705209877372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487201829</v>
      </c>
      <c r="AA27" s="78">
        <f t="shared" si="11"/>
        <v>223473844</v>
      </c>
      <c r="AB27" s="78">
        <f t="shared" si="12"/>
        <v>710675673</v>
      </c>
      <c r="AC27" s="40">
        <f t="shared" si="13"/>
        <v>0.7085228920850286</v>
      </c>
      <c r="AD27" s="77">
        <v>158527158</v>
      </c>
      <c r="AE27" s="78">
        <v>60529264</v>
      </c>
      <c r="AF27" s="78">
        <f t="shared" si="14"/>
        <v>219056422</v>
      </c>
      <c r="AG27" s="40">
        <f>IF(1096302550=0,0,673865056/1096302550)</f>
        <v>0.6146707001639283</v>
      </c>
      <c r="AH27" s="40">
        <f t="shared" si="15"/>
        <v>0.16519617945736376</v>
      </c>
      <c r="AI27" s="12">
        <v>897798000</v>
      </c>
      <c r="AJ27" s="12">
        <v>1096302550</v>
      </c>
      <c r="AK27" s="12">
        <v>673865056</v>
      </c>
      <c r="AL27" s="12"/>
    </row>
    <row r="28" spans="1:38" s="56" customFormat="1" ht="12.75">
      <c r="A28" s="61"/>
      <c r="B28" s="62" t="s">
        <v>416</v>
      </c>
      <c r="C28" s="32"/>
      <c r="D28" s="81">
        <f>SUM(D22:D27)</f>
        <v>3845666885</v>
      </c>
      <c r="E28" s="82">
        <f>SUM(E22:E27)</f>
        <v>1184266689</v>
      </c>
      <c r="F28" s="90">
        <f t="shared" si="0"/>
        <v>5029933574</v>
      </c>
      <c r="G28" s="81">
        <f>SUM(G22:G27)</f>
        <v>3747475383</v>
      </c>
      <c r="H28" s="82">
        <f>SUM(H22:H27)</f>
        <v>1263280088</v>
      </c>
      <c r="I28" s="83">
        <f t="shared" si="1"/>
        <v>5010755471</v>
      </c>
      <c r="J28" s="81">
        <f>SUM(J22:J27)</f>
        <v>1135573565</v>
      </c>
      <c r="K28" s="82">
        <f>SUM(K22:K27)</f>
        <v>108857868</v>
      </c>
      <c r="L28" s="82">
        <f t="shared" si="2"/>
        <v>1244431433</v>
      </c>
      <c r="M28" s="44">
        <f t="shared" si="3"/>
        <v>0.24740514257137186</v>
      </c>
      <c r="N28" s="111">
        <f>SUM(N22:N27)</f>
        <v>726159559</v>
      </c>
      <c r="O28" s="112">
        <f>SUM(O22:O27)</f>
        <v>242655284</v>
      </c>
      <c r="P28" s="113">
        <f t="shared" si="4"/>
        <v>968814843</v>
      </c>
      <c r="Q28" s="44">
        <f t="shared" si="5"/>
        <v>0.192609868251115</v>
      </c>
      <c r="R28" s="111">
        <f>SUM(R22:R27)</f>
        <v>1042878818</v>
      </c>
      <c r="S28" s="113">
        <f>SUM(S22:S27)</f>
        <v>324274509</v>
      </c>
      <c r="T28" s="113">
        <f t="shared" si="6"/>
        <v>1367153327</v>
      </c>
      <c r="U28" s="44">
        <f t="shared" si="7"/>
        <v>0.2728437527858761</v>
      </c>
      <c r="V28" s="111">
        <f>SUM(V22:V27)</f>
        <v>0</v>
      </c>
      <c r="W28" s="113">
        <f>SUM(W22:W27)</f>
        <v>0</v>
      </c>
      <c r="X28" s="113">
        <f t="shared" si="8"/>
        <v>0</v>
      </c>
      <c r="Y28" s="44">
        <f t="shared" si="9"/>
        <v>0</v>
      </c>
      <c r="Z28" s="81">
        <f t="shared" si="10"/>
        <v>2904611942</v>
      </c>
      <c r="AA28" s="82">
        <f t="shared" si="11"/>
        <v>675787661</v>
      </c>
      <c r="AB28" s="82">
        <f t="shared" si="12"/>
        <v>3580399603</v>
      </c>
      <c r="AC28" s="44">
        <f t="shared" si="13"/>
        <v>0.7145428715733073</v>
      </c>
      <c r="AD28" s="81">
        <f>SUM(AD22:AD27)</f>
        <v>757537824</v>
      </c>
      <c r="AE28" s="82">
        <f>SUM(AE22:AE27)</f>
        <v>184785356</v>
      </c>
      <c r="AF28" s="82">
        <f t="shared" si="14"/>
        <v>942323180</v>
      </c>
      <c r="AG28" s="44">
        <f>IF(1096302550=0,0,673865056/1096302550)</f>
        <v>0.6146707001639283</v>
      </c>
      <c r="AH28" s="44">
        <f t="shared" si="15"/>
        <v>0.45083274614978697</v>
      </c>
      <c r="AI28" s="63">
        <f>SUM(AI22:AI27)</f>
        <v>4580288297</v>
      </c>
      <c r="AJ28" s="63">
        <f>SUM(AJ22:AJ27)</f>
        <v>5074467176</v>
      </c>
      <c r="AK28" s="63">
        <f>SUM(AK22:AK27)</f>
        <v>3151785691</v>
      </c>
      <c r="AL28" s="63"/>
    </row>
    <row r="29" spans="1:38" s="13" customFormat="1" ht="12.75">
      <c r="A29" s="29" t="s">
        <v>96</v>
      </c>
      <c r="B29" s="60" t="s">
        <v>417</v>
      </c>
      <c r="C29" s="39" t="s">
        <v>418</v>
      </c>
      <c r="D29" s="77">
        <v>305709946</v>
      </c>
      <c r="E29" s="78">
        <v>59838059</v>
      </c>
      <c r="F29" s="79">
        <f t="shared" si="0"/>
        <v>365548005</v>
      </c>
      <c r="G29" s="77">
        <v>220454771</v>
      </c>
      <c r="H29" s="78">
        <v>5962800</v>
      </c>
      <c r="I29" s="80">
        <f t="shared" si="1"/>
        <v>226417571</v>
      </c>
      <c r="J29" s="77">
        <v>167501434</v>
      </c>
      <c r="K29" s="78">
        <v>0</v>
      </c>
      <c r="L29" s="78">
        <f t="shared" si="2"/>
        <v>167501434</v>
      </c>
      <c r="M29" s="40">
        <f t="shared" si="3"/>
        <v>0.4582200742690416</v>
      </c>
      <c r="N29" s="105">
        <v>144905610</v>
      </c>
      <c r="O29" s="106">
        <v>0</v>
      </c>
      <c r="P29" s="107">
        <f t="shared" si="4"/>
        <v>144905610</v>
      </c>
      <c r="Q29" s="40">
        <f t="shared" si="5"/>
        <v>0.39640651301051416</v>
      </c>
      <c r="R29" s="105">
        <v>99541775</v>
      </c>
      <c r="S29" s="107">
        <v>0</v>
      </c>
      <c r="T29" s="107">
        <f t="shared" si="6"/>
        <v>99541775</v>
      </c>
      <c r="U29" s="40">
        <f t="shared" si="7"/>
        <v>0.43963803056609946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411948819</v>
      </c>
      <c r="AA29" s="78">
        <f t="shared" si="11"/>
        <v>0</v>
      </c>
      <c r="AB29" s="78">
        <f t="shared" si="12"/>
        <v>411948819</v>
      </c>
      <c r="AC29" s="40">
        <f t="shared" si="13"/>
        <v>1.8194207153648867</v>
      </c>
      <c r="AD29" s="77">
        <v>26011570</v>
      </c>
      <c r="AE29" s="78">
        <v>27800</v>
      </c>
      <c r="AF29" s="78">
        <f t="shared" si="14"/>
        <v>26039370</v>
      </c>
      <c r="AG29" s="40">
        <f>IF(382645779=0,0,158022198/382645779)</f>
        <v>0.4129725366707887</v>
      </c>
      <c r="AH29" s="40">
        <f t="shared" si="15"/>
        <v>2.822741295200306</v>
      </c>
      <c r="AI29" s="12">
        <v>357576068</v>
      </c>
      <c r="AJ29" s="12">
        <v>382645779</v>
      </c>
      <c r="AK29" s="12">
        <v>158022198</v>
      </c>
      <c r="AL29" s="12"/>
    </row>
    <row r="30" spans="1:38" s="13" customFormat="1" ht="12.75">
      <c r="A30" s="29" t="s">
        <v>96</v>
      </c>
      <c r="B30" s="60" t="s">
        <v>419</v>
      </c>
      <c r="C30" s="39" t="s">
        <v>420</v>
      </c>
      <c r="D30" s="77">
        <v>396741439</v>
      </c>
      <c r="E30" s="78">
        <v>75903840</v>
      </c>
      <c r="F30" s="79">
        <f t="shared" si="0"/>
        <v>472645279</v>
      </c>
      <c r="G30" s="77">
        <v>443962050</v>
      </c>
      <c r="H30" s="78">
        <v>75903840</v>
      </c>
      <c r="I30" s="80">
        <f t="shared" si="1"/>
        <v>519865890</v>
      </c>
      <c r="J30" s="77">
        <v>57139703</v>
      </c>
      <c r="K30" s="78">
        <v>18825831</v>
      </c>
      <c r="L30" s="78">
        <f t="shared" si="2"/>
        <v>75965534</v>
      </c>
      <c r="M30" s="40">
        <f t="shared" si="3"/>
        <v>0.16072419925726159</v>
      </c>
      <c r="N30" s="105">
        <v>0</v>
      </c>
      <c r="O30" s="106">
        <v>0</v>
      </c>
      <c r="P30" s="107">
        <f t="shared" si="4"/>
        <v>0</v>
      </c>
      <c r="Q30" s="40">
        <f t="shared" si="5"/>
        <v>0</v>
      </c>
      <c r="R30" s="105">
        <v>86342467</v>
      </c>
      <c r="S30" s="107">
        <v>8862322</v>
      </c>
      <c r="T30" s="107">
        <f t="shared" si="6"/>
        <v>95204789</v>
      </c>
      <c r="U30" s="40">
        <f t="shared" si="7"/>
        <v>0.18313336349111115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143482170</v>
      </c>
      <c r="AA30" s="78">
        <f t="shared" si="11"/>
        <v>27688153</v>
      </c>
      <c r="AB30" s="78">
        <f t="shared" si="12"/>
        <v>171170323</v>
      </c>
      <c r="AC30" s="40">
        <f t="shared" si="13"/>
        <v>0.32925861514014704</v>
      </c>
      <c r="AD30" s="77">
        <v>0</v>
      </c>
      <c r="AE30" s="78">
        <v>0</v>
      </c>
      <c r="AF30" s="78">
        <f t="shared" si="14"/>
        <v>0</v>
      </c>
      <c r="AG30" s="40">
        <f>IF(461119135=0,0,64584433/461119135)</f>
        <v>0.14006018856710425</v>
      </c>
      <c r="AH30" s="40">
        <f t="shared" si="15"/>
        <v>0</v>
      </c>
      <c r="AI30" s="12">
        <v>419034025</v>
      </c>
      <c r="AJ30" s="12">
        <v>461119135</v>
      </c>
      <c r="AK30" s="12">
        <v>64584433</v>
      </c>
      <c r="AL30" s="12"/>
    </row>
    <row r="31" spans="1:38" s="13" customFormat="1" ht="12.75">
      <c r="A31" s="29" t="s">
        <v>96</v>
      </c>
      <c r="B31" s="60" t="s">
        <v>421</v>
      </c>
      <c r="C31" s="39" t="s">
        <v>422</v>
      </c>
      <c r="D31" s="77">
        <v>162722811</v>
      </c>
      <c r="E31" s="78">
        <v>16156000</v>
      </c>
      <c r="F31" s="80">
        <f t="shared" si="0"/>
        <v>178878811</v>
      </c>
      <c r="G31" s="77">
        <v>6617</v>
      </c>
      <c r="H31" s="78">
        <v>16156000</v>
      </c>
      <c r="I31" s="80">
        <f t="shared" si="1"/>
        <v>16162617</v>
      </c>
      <c r="J31" s="77">
        <v>58937459</v>
      </c>
      <c r="K31" s="78">
        <v>2913617</v>
      </c>
      <c r="L31" s="78">
        <f t="shared" si="2"/>
        <v>61851076</v>
      </c>
      <c r="M31" s="40">
        <f t="shared" si="3"/>
        <v>0.3457708358761396</v>
      </c>
      <c r="N31" s="105">
        <v>49149791</v>
      </c>
      <c r="O31" s="106">
        <v>4916380</v>
      </c>
      <c r="P31" s="107">
        <f t="shared" si="4"/>
        <v>54066171</v>
      </c>
      <c r="Q31" s="40">
        <f t="shared" si="5"/>
        <v>0.3022502816166416</v>
      </c>
      <c r="R31" s="105">
        <v>0</v>
      </c>
      <c r="S31" s="107">
        <v>2253842</v>
      </c>
      <c r="T31" s="107">
        <f t="shared" si="6"/>
        <v>2253842</v>
      </c>
      <c r="U31" s="40">
        <f t="shared" si="7"/>
        <v>0.13944783818115594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108087250</v>
      </c>
      <c r="AA31" s="78">
        <f t="shared" si="11"/>
        <v>10083839</v>
      </c>
      <c r="AB31" s="78">
        <f t="shared" si="12"/>
        <v>118171089</v>
      </c>
      <c r="AC31" s="40">
        <f t="shared" si="13"/>
        <v>7.311383360751542</v>
      </c>
      <c r="AD31" s="77">
        <v>52609188</v>
      </c>
      <c r="AE31" s="78">
        <v>9221577</v>
      </c>
      <c r="AF31" s="78">
        <f t="shared" si="14"/>
        <v>61830765</v>
      </c>
      <c r="AG31" s="40">
        <f>IF(140567500=0,0,107363320/140567500)</f>
        <v>0.7637848008963665</v>
      </c>
      <c r="AH31" s="40">
        <f t="shared" si="15"/>
        <v>-0.9635482109917288</v>
      </c>
      <c r="AI31" s="12">
        <v>139668300</v>
      </c>
      <c r="AJ31" s="12">
        <v>140567500</v>
      </c>
      <c r="AK31" s="12">
        <v>107363320</v>
      </c>
      <c r="AL31" s="12"/>
    </row>
    <row r="32" spans="1:38" s="13" customFormat="1" ht="12.75">
      <c r="A32" s="29" t="s">
        <v>96</v>
      </c>
      <c r="B32" s="60" t="s">
        <v>423</v>
      </c>
      <c r="C32" s="39" t="s">
        <v>424</v>
      </c>
      <c r="D32" s="77">
        <v>280478686</v>
      </c>
      <c r="E32" s="78">
        <v>31936250</v>
      </c>
      <c r="F32" s="79">
        <f t="shared" si="0"/>
        <v>312414936</v>
      </c>
      <c r="G32" s="77">
        <v>280478686</v>
      </c>
      <c r="H32" s="78">
        <v>32969250</v>
      </c>
      <c r="I32" s="80">
        <f t="shared" si="1"/>
        <v>313447936</v>
      </c>
      <c r="J32" s="77">
        <v>79827539</v>
      </c>
      <c r="K32" s="78">
        <v>2566657</v>
      </c>
      <c r="L32" s="78">
        <f t="shared" si="2"/>
        <v>82394196</v>
      </c>
      <c r="M32" s="40">
        <f t="shared" si="3"/>
        <v>0.2637332166474909</v>
      </c>
      <c r="N32" s="105">
        <v>70720222</v>
      </c>
      <c r="O32" s="106">
        <v>21653283</v>
      </c>
      <c r="P32" s="107">
        <f t="shared" si="4"/>
        <v>92373505</v>
      </c>
      <c r="Q32" s="40">
        <f t="shared" si="5"/>
        <v>0.2956757003448772</v>
      </c>
      <c r="R32" s="105">
        <v>64282481</v>
      </c>
      <c r="S32" s="107">
        <v>3965191</v>
      </c>
      <c r="T32" s="107">
        <f t="shared" si="6"/>
        <v>68247672</v>
      </c>
      <c r="U32" s="40">
        <f t="shared" si="7"/>
        <v>0.21773208294470953</v>
      </c>
      <c r="V32" s="105">
        <v>0</v>
      </c>
      <c r="W32" s="107">
        <v>0</v>
      </c>
      <c r="X32" s="107">
        <f t="shared" si="8"/>
        <v>0</v>
      </c>
      <c r="Y32" s="40">
        <f t="shared" si="9"/>
        <v>0</v>
      </c>
      <c r="Z32" s="77">
        <f t="shared" si="10"/>
        <v>214830242</v>
      </c>
      <c r="AA32" s="78">
        <f t="shared" si="11"/>
        <v>28185131</v>
      </c>
      <c r="AB32" s="78">
        <f t="shared" si="12"/>
        <v>243015373</v>
      </c>
      <c r="AC32" s="40">
        <f t="shared" si="13"/>
        <v>0.7752974101574559</v>
      </c>
      <c r="AD32" s="77">
        <v>61597695</v>
      </c>
      <c r="AE32" s="78">
        <v>9490811</v>
      </c>
      <c r="AF32" s="78">
        <f t="shared" si="14"/>
        <v>71088506</v>
      </c>
      <c r="AG32" s="40">
        <f>IF(308496219=0,0,222098739/308496219)</f>
        <v>0.7199399062975226</v>
      </c>
      <c r="AH32" s="40">
        <f t="shared" si="15"/>
        <v>-0.03996193139858639</v>
      </c>
      <c r="AI32" s="12">
        <v>294541771</v>
      </c>
      <c r="AJ32" s="12">
        <v>308496219</v>
      </c>
      <c r="AK32" s="12">
        <v>222098739</v>
      </c>
      <c r="AL32" s="12"/>
    </row>
    <row r="33" spans="1:38" s="13" customFormat="1" ht="12.75">
      <c r="A33" s="29" t="s">
        <v>96</v>
      </c>
      <c r="B33" s="60" t="s">
        <v>425</v>
      </c>
      <c r="C33" s="39" t="s">
        <v>426</v>
      </c>
      <c r="D33" s="77">
        <v>340948766</v>
      </c>
      <c r="E33" s="78">
        <v>53182750</v>
      </c>
      <c r="F33" s="79">
        <f t="shared" si="0"/>
        <v>394131516</v>
      </c>
      <c r="G33" s="77">
        <v>330970109</v>
      </c>
      <c r="H33" s="78">
        <v>50294646</v>
      </c>
      <c r="I33" s="80">
        <f t="shared" si="1"/>
        <v>381264755</v>
      </c>
      <c r="J33" s="77">
        <v>88584291</v>
      </c>
      <c r="K33" s="78">
        <v>9007005</v>
      </c>
      <c r="L33" s="78">
        <f t="shared" si="2"/>
        <v>97591296</v>
      </c>
      <c r="M33" s="40">
        <f t="shared" si="3"/>
        <v>0.2476109928747743</v>
      </c>
      <c r="N33" s="105">
        <v>73742628</v>
      </c>
      <c r="O33" s="106">
        <v>16946279</v>
      </c>
      <c r="P33" s="107">
        <f t="shared" si="4"/>
        <v>90688907</v>
      </c>
      <c r="Q33" s="40">
        <f t="shared" si="5"/>
        <v>0.2300980848230366</v>
      </c>
      <c r="R33" s="105">
        <v>48460963</v>
      </c>
      <c r="S33" s="107">
        <v>7269747</v>
      </c>
      <c r="T33" s="107">
        <f t="shared" si="6"/>
        <v>55730710</v>
      </c>
      <c r="U33" s="40">
        <f t="shared" si="7"/>
        <v>0.14617325433083894</v>
      </c>
      <c r="V33" s="105">
        <v>0</v>
      </c>
      <c r="W33" s="107">
        <v>0</v>
      </c>
      <c r="X33" s="107">
        <f t="shared" si="8"/>
        <v>0</v>
      </c>
      <c r="Y33" s="40">
        <f t="shared" si="9"/>
        <v>0</v>
      </c>
      <c r="Z33" s="77">
        <f t="shared" si="10"/>
        <v>210787882</v>
      </c>
      <c r="AA33" s="78">
        <f t="shared" si="11"/>
        <v>33223031</v>
      </c>
      <c r="AB33" s="78">
        <f t="shared" si="12"/>
        <v>244010913</v>
      </c>
      <c r="AC33" s="40">
        <f t="shared" si="13"/>
        <v>0.6400038550639174</v>
      </c>
      <c r="AD33" s="77">
        <v>34523624</v>
      </c>
      <c r="AE33" s="78">
        <v>1166334</v>
      </c>
      <c r="AF33" s="78">
        <f t="shared" si="14"/>
        <v>35689958</v>
      </c>
      <c r="AG33" s="40">
        <f>IF(348545404=0,0,199070291/348545404)</f>
        <v>0.5711459359825614</v>
      </c>
      <c r="AH33" s="40">
        <f t="shared" si="15"/>
        <v>0.5615235523673074</v>
      </c>
      <c r="AI33" s="12">
        <v>338262314</v>
      </c>
      <c r="AJ33" s="12">
        <v>348545404</v>
      </c>
      <c r="AK33" s="12">
        <v>199070291</v>
      </c>
      <c r="AL33" s="12"/>
    </row>
    <row r="34" spans="1:38" s="13" customFormat="1" ht="12.75">
      <c r="A34" s="29" t="s">
        <v>96</v>
      </c>
      <c r="B34" s="60" t="s">
        <v>427</v>
      </c>
      <c r="C34" s="39" t="s">
        <v>428</v>
      </c>
      <c r="D34" s="77">
        <v>791578201</v>
      </c>
      <c r="E34" s="78">
        <v>409888680</v>
      </c>
      <c r="F34" s="79">
        <f t="shared" si="0"/>
        <v>1201466881</v>
      </c>
      <c r="G34" s="77">
        <v>791578201</v>
      </c>
      <c r="H34" s="78">
        <v>409888680</v>
      </c>
      <c r="I34" s="80">
        <f t="shared" si="1"/>
        <v>1201466881</v>
      </c>
      <c r="J34" s="77">
        <v>213013981</v>
      </c>
      <c r="K34" s="78">
        <v>122078859</v>
      </c>
      <c r="L34" s="78">
        <f t="shared" si="2"/>
        <v>335092840</v>
      </c>
      <c r="M34" s="40">
        <f t="shared" si="3"/>
        <v>0.2789031019490915</v>
      </c>
      <c r="N34" s="105">
        <v>203655143</v>
      </c>
      <c r="O34" s="106">
        <v>110582775</v>
      </c>
      <c r="P34" s="107">
        <f t="shared" si="4"/>
        <v>314237918</v>
      </c>
      <c r="Q34" s="40">
        <f t="shared" si="5"/>
        <v>0.261545218573528</v>
      </c>
      <c r="R34" s="105">
        <v>0</v>
      </c>
      <c r="S34" s="107">
        <v>0</v>
      </c>
      <c r="T34" s="107">
        <f t="shared" si="6"/>
        <v>0</v>
      </c>
      <c r="U34" s="40">
        <f t="shared" si="7"/>
        <v>0</v>
      </c>
      <c r="V34" s="105">
        <v>0</v>
      </c>
      <c r="W34" s="107">
        <v>0</v>
      </c>
      <c r="X34" s="107">
        <f t="shared" si="8"/>
        <v>0</v>
      </c>
      <c r="Y34" s="40">
        <f t="shared" si="9"/>
        <v>0</v>
      </c>
      <c r="Z34" s="77">
        <f t="shared" si="10"/>
        <v>416669124</v>
      </c>
      <c r="AA34" s="78">
        <f t="shared" si="11"/>
        <v>232661634</v>
      </c>
      <c r="AB34" s="78">
        <f t="shared" si="12"/>
        <v>649330758</v>
      </c>
      <c r="AC34" s="40">
        <f t="shared" si="13"/>
        <v>0.5404483205226196</v>
      </c>
      <c r="AD34" s="77">
        <v>256791780</v>
      </c>
      <c r="AE34" s="78">
        <v>48628214</v>
      </c>
      <c r="AF34" s="78">
        <f t="shared" si="14"/>
        <v>305419994</v>
      </c>
      <c r="AG34" s="40">
        <f>IF(1176304612=0,0,727243014/1176304612)</f>
        <v>0.6182437836093428</v>
      </c>
      <c r="AH34" s="40">
        <f t="shared" si="15"/>
        <v>-1</v>
      </c>
      <c r="AI34" s="12">
        <v>1053047418</v>
      </c>
      <c r="AJ34" s="12">
        <v>1176304612</v>
      </c>
      <c r="AK34" s="12">
        <v>727243014</v>
      </c>
      <c r="AL34" s="12"/>
    </row>
    <row r="35" spans="1:38" s="13" customFormat="1" ht="12.75">
      <c r="A35" s="29" t="s">
        <v>115</v>
      </c>
      <c r="B35" s="60" t="s">
        <v>429</v>
      </c>
      <c r="C35" s="39" t="s">
        <v>430</v>
      </c>
      <c r="D35" s="77">
        <v>153668600</v>
      </c>
      <c r="E35" s="78">
        <v>0</v>
      </c>
      <c r="F35" s="79">
        <f t="shared" si="0"/>
        <v>153668600</v>
      </c>
      <c r="G35" s="77">
        <v>153668600</v>
      </c>
      <c r="H35" s="78">
        <v>0</v>
      </c>
      <c r="I35" s="80">
        <f t="shared" si="1"/>
        <v>153668600</v>
      </c>
      <c r="J35" s="77">
        <v>49872669</v>
      </c>
      <c r="K35" s="78">
        <v>0</v>
      </c>
      <c r="L35" s="78">
        <f t="shared" si="2"/>
        <v>49872669</v>
      </c>
      <c r="M35" s="40">
        <f t="shared" si="3"/>
        <v>0.3245469080866228</v>
      </c>
      <c r="N35" s="105">
        <v>43585151</v>
      </c>
      <c r="O35" s="106">
        <v>0</v>
      </c>
      <c r="P35" s="107">
        <f t="shared" si="4"/>
        <v>43585151</v>
      </c>
      <c r="Q35" s="40">
        <f t="shared" si="5"/>
        <v>0.2836308198291648</v>
      </c>
      <c r="R35" s="105">
        <v>38286384</v>
      </c>
      <c r="S35" s="107">
        <v>0</v>
      </c>
      <c r="T35" s="107">
        <f t="shared" si="6"/>
        <v>38286384</v>
      </c>
      <c r="U35" s="40">
        <f t="shared" si="7"/>
        <v>0.24914903890580117</v>
      </c>
      <c r="V35" s="105">
        <v>0</v>
      </c>
      <c r="W35" s="107">
        <v>0</v>
      </c>
      <c r="X35" s="107">
        <f t="shared" si="8"/>
        <v>0</v>
      </c>
      <c r="Y35" s="40">
        <f t="shared" si="9"/>
        <v>0</v>
      </c>
      <c r="Z35" s="77">
        <f t="shared" si="10"/>
        <v>131744204</v>
      </c>
      <c r="AA35" s="78">
        <f t="shared" si="11"/>
        <v>0</v>
      </c>
      <c r="AB35" s="78">
        <f t="shared" si="12"/>
        <v>131744204</v>
      </c>
      <c r="AC35" s="40">
        <f t="shared" si="13"/>
        <v>0.8573267668215888</v>
      </c>
      <c r="AD35" s="77">
        <v>29728891</v>
      </c>
      <c r="AE35" s="78">
        <v>1789996</v>
      </c>
      <c r="AF35" s="78">
        <f t="shared" si="14"/>
        <v>31518887</v>
      </c>
      <c r="AG35" s="40">
        <f>IF(121374839=0,0,109849292/121374839)</f>
        <v>0.905041711322064</v>
      </c>
      <c r="AH35" s="40">
        <f t="shared" si="15"/>
        <v>0.2147124357532042</v>
      </c>
      <c r="AI35" s="12">
        <v>111456000</v>
      </c>
      <c r="AJ35" s="12">
        <v>121374839</v>
      </c>
      <c r="AK35" s="12">
        <v>109849292</v>
      </c>
      <c r="AL35" s="12"/>
    </row>
    <row r="36" spans="1:38" s="56" customFormat="1" ht="12.75">
      <c r="A36" s="61"/>
      <c r="B36" s="62" t="s">
        <v>431</v>
      </c>
      <c r="C36" s="32"/>
      <c r="D36" s="81">
        <f>SUM(D29:D35)</f>
        <v>2431848449</v>
      </c>
      <c r="E36" s="82">
        <f>SUM(E29:E35)</f>
        <v>646905579</v>
      </c>
      <c r="F36" s="90">
        <f t="shared" si="0"/>
        <v>3078754028</v>
      </c>
      <c r="G36" s="81">
        <f>SUM(G29:G35)</f>
        <v>2221119034</v>
      </c>
      <c r="H36" s="82">
        <f>SUM(H29:H35)</f>
        <v>591175216</v>
      </c>
      <c r="I36" s="83">
        <f t="shared" si="1"/>
        <v>2812294250</v>
      </c>
      <c r="J36" s="81">
        <f>SUM(J29:J35)</f>
        <v>714877076</v>
      </c>
      <c r="K36" s="82">
        <f>SUM(K29:K35)</f>
        <v>155391969</v>
      </c>
      <c r="L36" s="82">
        <f t="shared" si="2"/>
        <v>870269045</v>
      </c>
      <c r="M36" s="44">
        <f t="shared" si="3"/>
        <v>0.2826692347245871</v>
      </c>
      <c r="N36" s="111">
        <f>SUM(N29:N35)</f>
        <v>585758545</v>
      </c>
      <c r="O36" s="112">
        <f>SUM(O29:O35)</f>
        <v>154098717</v>
      </c>
      <c r="P36" s="113">
        <f t="shared" si="4"/>
        <v>739857262</v>
      </c>
      <c r="Q36" s="44">
        <f t="shared" si="5"/>
        <v>0.24031061113401814</v>
      </c>
      <c r="R36" s="111">
        <f>SUM(R29:R35)</f>
        <v>336914070</v>
      </c>
      <c r="S36" s="113">
        <f>SUM(S29:S35)</f>
        <v>22351102</v>
      </c>
      <c r="T36" s="113">
        <f t="shared" si="6"/>
        <v>359265172</v>
      </c>
      <c r="U36" s="44">
        <f t="shared" si="7"/>
        <v>0.12774807330349588</v>
      </c>
      <c r="V36" s="111">
        <f>SUM(V29:V35)</f>
        <v>0</v>
      </c>
      <c r="W36" s="113">
        <f>SUM(W29:W35)</f>
        <v>0</v>
      </c>
      <c r="X36" s="113">
        <f t="shared" si="8"/>
        <v>0</v>
      </c>
      <c r="Y36" s="44">
        <f t="shared" si="9"/>
        <v>0</v>
      </c>
      <c r="Z36" s="81">
        <f t="shared" si="10"/>
        <v>1637549691</v>
      </c>
      <c r="AA36" s="82">
        <f t="shared" si="11"/>
        <v>331841788</v>
      </c>
      <c r="AB36" s="82">
        <f t="shared" si="12"/>
        <v>1969391479</v>
      </c>
      <c r="AC36" s="44">
        <f t="shared" si="13"/>
        <v>0.7002793107442438</v>
      </c>
      <c r="AD36" s="81">
        <f>SUM(AD29:AD35)</f>
        <v>461262748</v>
      </c>
      <c r="AE36" s="82">
        <f>SUM(AE29:AE35)</f>
        <v>70324732</v>
      </c>
      <c r="AF36" s="82">
        <f t="shared" si="14"/>
        <v>531587480</v>
      </c>
      <c r="AG36" s="44">
        <f>IF(121374839=0,0,109849292/121374839)</f>
        <v>0.905041711322064</v>
      </c>
      <c r="AH36" s="44">
        <f t="shared" si="15"/>
        <v>-0.32416547507853266</v>
      </c>
      <c r="AI36" s="63">
        <f>SUM(AI29:AI35)</f>
        <v>2713585896</v>
      </c>
      <c r="AJ36" s="63">
        <f>SUM(AJ29:AJ35)</f>
        <v>2939053488</v>
      </c>
      <c r="AK36" s="63">
        <f>SUM(AK29:AK35)</f>
        <v>1588231287</v>
      </c>
      <c r="AL36" s="63"/>
    </row>
    <row r="37" spans="1:38" s="13" customFormat="1" ht="12.75">
      <c r="A37" s="29" t="s">
        <v>96</v>
      </c>
      <c r="B37" s="60" t="s">
        <v>432</v>
      </c>
      <c r="C37" s="39" t="s">
        <v>433</v>
      </c>
      <c r="D37" s="77">
        <v>224769250</v>
      </c>
      <c r="E37" s="78">
        <v>70815213</v>
      </c>
      <c r="F37" s="79">
        <f t="shared" si="0"/>
        <v>295584463</v>
      </c>
      <c r="G37" s="77">
        <v>223724979</v>
      </c>
      <c r="H37" s="78">
        <v>68454956</v>
      </c>
      <c r="I37" s="80">
        <f t="shared" si="1"/>
        <v>292179935</v>
      </c>
      <c r="J37" s="77">
        <v>76927402</v>
      </c>
      <c r="K37" s="78">
        <v>16931534</v>
      </c>
      <c r="L37" s="78">
        <f t="shared" si="2"/>
        <v>93858936</v>
      </c>
      <c r="M37" s="40">
        <f t="shared" si="3"/>
        <v>0.31753677120708473</v>
      </c>
      <c r="N37" s="105">
        <v>27213663</v>
      </c>
      <c r="O37" s="106">
        <v>20621109</v>
      </c>
      <c r="P37" s="107">
        <f t="shared" si="4"/>
        <v>47834772</v>
      </c>
      <c r="Q37" s="40">
        <f t="shared" si="5"/>
        <v>0.16183114469044335</v>
      </c>
      <c r="R37" s="105">
        <v>16558380</v>
      </c>
      <c r="S37" s="107">
        <v>18342751</v>
      </c>
      <c r="T37" s="107">
        <f t="shared" si="6"/>
        <v>34901131</v>
      </c>
      <c r="U37" s="40">
        <f t="shared" si="7"/>
        <v>0.1194508137596786</v>
      </c>
      <c r="V37" s="105">
        <v>0</v>
      </c>
      <c r="W37" s="107">
        <v>0</v>
      </c>
      <c r="X37" s="107">
        <f t="shared" si="8"/>
        <v>0</v>
      </c>
      <c r="Y37" s="40">
        <f t="shared" si="9"/>
        <v>0</v>
      </c>
      <c r="Z37" s="77">
        <f t="shared" si="10"/>
        <v>120699445</v>
      </c>
      <c r="AA37" s="78">
        <f t="shared" si="11"/>
        <v>55895394</v>
      </c>
      <c r="AB37" s="78">
        <f t="shared" si="12"/>
        <v>176594839</v>
      </c>
      <c r="AC37" s="40">
        <f t="shared" si="13"/>
        <v>0.6044044023762275</v>
      </c>
      <c r="AD37" s="77">
        <v>47172796</v>
      </c>
      <c r="AE37" s="78">
        <v>554561</v>
      </c>
      <c r="AF37" s="78">
        <f t="shared" si="14"/>
        <v>47727357</v>
      </c>
      <c r="AG37" s="40">
        <f>IF(267246880=0,0,177509501/267246880)</f>
        <v>0.6642154288199735</v>
      </c>
      <c r="AH37" s="40">
        <f t="shared" si="15"/>
        <v>-0.2687394988161611</v>
      </c>
      <c r="AI37" s="12">
        <v>307301780</v>
      </c>
      <c r="AJ37" s="12">
        <v>267246880</v>
      </c>
      <c r="AK37" s="12">
        <v>177509501</v>
      </c>
      <c r="AL37" s="12"/>
    </row>
    <row r="38" spans="1:38" s="13" customFormat="1" ht="12.75">
      <c r="A38" s="29" t="s">
        <v>96</v>
      </c>
      <c r="B38" s="60" t="s">
        <v>434</v>
      </c>
      <c r="C38" s="39" t="s">
        <v>435</v>
      </c>
      <c r="D38" s="77">
        <v>331223575</v>
      </c>
      <c r="E38" s="78">
        <v>99981215</v>
      </c>
      <c r="F38" s="79">
        <f t="shared" si="0"/>
        <v>431204790</v>
      </c>
      <c r="G38" s="77">
        <v>325045702</v>
      </c>
      <c r="H38" s="78">
        <v>124454950</v>
      </c>
      <c r="I38" s="80">
        <f t="shared" si="1"/>
        <v>449500652</v>
      </c>
      <c r="J38" s="77">
        <v>117001770</v>
      </c>
      <c r="K38" s="78">
        <v>5619173</v>
      </c>
      <c r="L38" s="78">
        <f t="shared" si="2"/>
        <v>122620943</v>
      </c>
      <c r="M38" s="40">
        <f t="shared" si="3"/>
        <v>0.2843682302323219</v>
      </c>
      <c r="N38" s="105">
        <v>101107900</v>
      </c>
      <c r="O38" s="106">
        <v>36501834</v>
      </c>
      <c r="P38" s="107">
        <f t="shared" si="4"/>
        <v>137609734</v>
      </c>
      <c r="Q38" s="40">
        <f t="shared" si="5"/>
        <v>0.31912849112831054</v>
      </c>
      <c r="R38" s="105">
        <v>82267189</v>
      </c>
      <c r="S38" s="107">
        <v>25121237</v>
      </c>
      <c r="T38" s="107">
        <f t="shared" si="6"/>
        <v>107388426</v>
      </c>
      <c r="U38" s="40">
        <f t="shared" si="7"/>
        <v>0.23890605168688386</v>
      </c>
      <c r="V38" s="105">
        <v>0</v>
      </c>
      <c r="W38" s="107">
        <v>0</v>
      </c>
      <c r="X38" s="107">
        <f t="shared" si="8"/>
        <v>0</v>
      </c>
      <c r="Y38" s="40">
        <f t="shared" si="9"/>
        <v>0</v>
      </c>
      <c r="Z38" s="77">
        <f t="shared" si="10"/>
        <v>300376859</v>
      </c>
      <c r="AA38" s="78">
        <f t="shared" si="11"/>
        <v>67242244</v>
      </c>
      <c r="AB38" s="78">
        <f t="shared" si="12"/>
        <v>367619103</v>
      </c>
      <c r="AC38" s="40">
        <f t="shared" si="13"/>
        <v>0.817838864892236</v>
      </c>
      <c r="AD38" s="77">
        <v>72555216</v>
      </c>
      <c r="AE38" s="78">
        <v>31210669</v>
      </c>
      <c r="AF38" s="78">
        <f t="shared" si="14"/>
        <v>103765885</v>
      </c>
      <c r="AG38" s="40">
        <f>IF(369606270=0,0,289587857/369606270)</f>
        <v>0.7835036375329888</v>
      </c>
      <c r="AH38" s="40">
        <f t="shared" si="15"/>
        <v>0.034910712706782254</v>
      </c>
      <c r="AI38" s="12">
        <v>357408600</v>
      </c>
      <c r="AJ38" s="12">
        <v>369606270</v>
      </c>
      <c r="AK38" s="12">
        <v>289587857</v>
      </c>
      <c r="AL38" s="12"/>
    </row>
    <row r="39" spans="1:38" s="13" customFormat="1" ht="12.75">
      <c r="A39" s="29" t="s">
        <v>96</v>
      </c>
      <c r="B39" s="60" t="s">
        <v>436</v>
      </c>
      <c r="C39" s="39" t="s">
        <v>437</v>
      </c>
      <c r="D39" s="77">
        <v>302787055</v>
      </c>
      <c r="E39" s="78">
        <v>134040001</v>
      </c>
      <c r="F39" s="79">
        <f t="shared" si="0"/>
        <v>436827056</v>
      </c>
      <c r="G39" s="77">
        <v>303287055</v>
      </c>
      <c r="H39" s="78">
        <v>151140001</v>
      </c>
      <c r="I39" s="80">
        <f t="shared" si="1"/>
        <v>454427056</v>
      </c>
      <c r="J39" s="77">
        <v>114863336</v>
      </c>
      <c r="K39" s="78">
        <v>44629489</v>
      </c>
      <c r="L39" s="78">
        <f t="shared" si="2"/>
        <v>159492825</v>
      </c>
      <c r="M39" s="40">
        <f t="shared" si="3"/>
        <v>0.365116635541</v>
      </c>
      <c r="N39" s="105">
        <v>91029751</v>
      </c>
      <c r="O39" s="106">
        <v>45581060</v>
      </c>
      <c r="P39" s="107">
        <f t="shared" si="4"/>
        <v>136610811</v>
      </c>
      <c r="Q39" s="40">
        <f t="shared" si="5"/>
        <v>0.3127343169879111</v>
      </c>
      <c r="R39" s="105">
        <v>75468398</v>
      </c>
      <c r="S39" s="107">
        <v>12414346</v>
      </c>
      <c r="T39" s="107">
        <f t="shared" si="6"/>
        <v>87882744</v>
      </c>
      <c r="U39" s="40">
        <f t="shared" si="7"/>
        <v>0.19339241103637103</v>
      </c>
      <c r="V39" s="105">
        <v>0</v>
      </c>
      <c r="W39" s="107">
        <v>0</v>
      </c>
      <c r="X39" s="107">
        <f t="shared" si="8"/>
        <v>0</v>
      </c>
      <c r="Y39" s="40">
        <f t="shared" si="9"/>
        <v>0</v>
      </c>
      <c r="Z39" s="77">
        <f t="shared" si="10"/>
        <v>281361485</v>
      </c>
      <c r="AA39" s="78">
        <f t="shared" si="11"/>
        <v>102624895</v>
      </c>
      <c r="AB39" s="78">
        <f t="shared" si="12"/>
        <v>383986380</v>
      </c>
      <c r="AC39" s="40">
        <f t="shared" si="13"/>
        <v>0.8449901363267419</v>
      </c>
      <c r="AD39" s="77">
        <v>65258663</v>
      </c>
      <c r="AE39" s="78">
        <v>19674785</v>
      </c>
      <c r="AF39" s="78">
        <f t="shared" si="14"/>
        <v>84933448</v>
      </c>
      <c r="AG39" s="40">
        <f>IF(416196923=0,0,301239869/416196923)</f>
        <v>0.7237916773353944</v>
      </c>
      <c r="AH39" s="40">
        <f t="shared" si="15"/>
        <v>0.034724788283645225</v>
      </c>
      <c r="AI39" s="12">
        <v>408957056</v>
      </c>
      <c r="AJ39" s="12">
        <v>416196923</v>
      </c>
      <c r="AK39" s="12">
        <v>301239869</v>
      </c>
      <c r="AL39" s="12"/>
    </row>
    <row r="40" spans="1:38" s="13" customFormat="1" ht="12.75">
      <c r="A40" s="29" t="s">
        <v>96</v>
      </c>
      <c r="B40" s="60" t="s">
        <v>438</v>
      </c>
      <c r="C40" s="39" t="s">
        <v>439</v>
      </c>
      <c r="D40" s="77">
        <v>107395507</v>
      </c>
      <c r="E40" s="78">
        <v>26521000</v>
      </c>
      <c r="F40" s="79">
        <f t="shared" si="0"/>
        <v>133916507</v>
      </c>
      <c r="G40" s="77">
        <v>8273217</v>
      </c>
      <c r="H40" s="78">
        <v>45094550</v>
      </c>
      <c r="I40" s="80">
        <f t="shared" si="1"/>
        <v>53367767</v>
      </c>
      <c r="J40" s="77">
        <v>51294077</v>
      </c>
      <c r="K40" s="78">
        <v>6093543</v>
      </c>
      <c r="L40" s="78">
        <f t="shared" si="2"/>
        <v>57387620</v>
      </c>
      <c r="M40" s="40">
        <f t="shared" si="3"/>
        <v>0.4285328320279441</v>
      </c>
      <c r="N40" s="105">
        <v>19866215</v>
      </c>
      <c r="O40" s="106">
        <v>2890972</v>
      </c>
      <c r="P40" s="107">
        <f t="shared" si="4"/>
        <v>22757187</v>
      </c>
      <c r="Q40" s="40">
        <f t="shared" si="5"/>
        <v>0.1699356375834982</v>
      </c>
      <c r="R40" s="105">
        <v>0</v>
      </c>
      <c r="S40" s="107">
        <v>0</v>
      </c>
      <c r="T40" s="107">
        <f t="shared" si="6"/>
        <v>0</v>
      </c>
      <c r="U40" s="40">
        <f t="shared" si="7"/>
        <v>0</v>
      </c>
      <c r="V40" s="105">
        <v>0</v>
      </c>
      <c r="W40" s="107">
        <v>0</v>
      </c>
      <c r="X40" s="107">
        <f t="shared" si="8"/>
        <v>0</v>
      </c>
      <c r="Y40" s="40">
        <f t="shared" si="9"/>
        <v>0</v>
      </c>
      <c r="Z40" s="77">
        <f t="shared" si="10"/>
        <v>71160292</v>
      </c>
      <c r="AA40" s="78">
        <f t="shared" si="11"/>
        <v>8984515</v>
      </c>
      <c r="AB40" s="78">
        <f t="shared" si="12"/>
        <v>80144807</v>
      </c>
      <c r="AC40" s="40">
        <f t="shared" si="13"/>
        <v>1.5017455573886012</v>
      </c>
      <c r="AD40" s="77">
        <v>22624446</v>
      </c>
      <c r="AE40" s="78">
        <v>13325377</v>
      </c>
      <c r="AF40" s="78">
        <f t="shared" si="14"/>
        <v>35949823</v>
      </c>
      <c r="AG40" s="40">
        <f>IF(115293933=0,0,105667566/115293933)</f>
        <v>0.9165058667917938</v>
      </c>
      <c r="AH40" s="40">
        <f t="shared" si="15"/>
        <v>-1</v>
      </c>
      <c r="AI40" s="12">
        <v>114439879</v>
      </c>
      <c r="AJ40" s="12">
        <v>115293933</v>
      </c>
      <c r="AK40" s="12">
        <v>105667566</v>
      </c>
      <c r="AL40" s="12"/>
    </row>
    <row r="41" spans="1:38" s="13" customFormat="1" ht="12.75">
      <c r="A41" s="29" t="s">
        <v>96</v>
      </c>
      <c r="B41" s="60" t="s">
        <v>440</v>
      </c>
      <c r="C41" s="39" t="s">
        <v>441</v>
      </c>
      <c r="D41" s="77">
        <v>521376000</v>
      </c>
      <c r="E41" s="78">
        <v>0</v>
      </c>
      <c r="F41" s="79">
        <f t="shared" si="0"/>
        <v>521376000</v>
      </c>
      <c r="G41" s="77">
        <v>345557500</v>
      </c>
      <c r="H41" s="78">
        <v>372199949</v>
      </c>
      <c r="I41" s="80">
        <f t="shared" si="1"/>
        <v>717757449</v>
      </c>
      <c r="J41" s="77">
        <v>144091620</v>
      </c>
      <c r="K41" s="78">
        <v>2910255</v>
      </c>
      <c r="L41" s="78">
        <f t="shared" si="2"/>
        <v>147001875</v>
      </c>
      <c r="M41" s="40">
        <f t="shared" si="3"/>
        <v>0.2819498308322593</v>
      </c>
      <c r="N41" s="105">
        <v>99618909</v>
      </c>
      <c r="O41" s="106">
        <v>16603055</v>
      </c>
      <c r="P41" s="107">
        <f t="shared" si="4"/>
        <v>116221964</v>
      </c>
      <c r="Q41" s="40">
        <f t="shared" si="5"/>
        <v>0.22291391241637512</v>
      </c>
      <c r="R41" s="105">
        <v>89665486</v>
      </c>
      <c r="S41" s="107">
        <v>103310321</v>
      </c>
      <c r="T41" s="107">
        <f t="shared" si="6"/>
        <v>192975807</v>
      </c>
      <c r="U41" s="40">
        <f t="shared" si="7"/>
        <v>0.26885935808657835</v>
      </c>
      <c r="V41" s="105">
        <v>0</v>
      </c>
      <c r="W41" s="107">
        <v>0</v>
      </c>
      <c r="X41" s="107">
        <f t="shared" si="8"/>
        <v>0</v>
      </c>
      <c r="Y41" s="40">
        <f t="shared" si="9"/>
        <v>0</v>
      </c>
      <c r="Z41" s="77">
        <f t="shared" si="10"/>
        <v>333376015</v>
      </c>
      <c r="AA41" s="78">
        <f t="shared" si="11"/>
        <v>122823631</v>
      </c>
      <c r="AB41" s="78">
        <f t="shared" si="12"/>
        <v>456199646</v>
      </c>
      <c r="AC41" s="40">
        <f t="shared" si="13"/>
        <v>0.6355902633063443</v>
      </c>
      <c r="AD41" s="77">
        <v>125698865</v>
      </c>
      <c r="AE41" s="78">
        <v>9043050</v>
      </c>
      <c r="AF41" s="78">
        <f t="shared" si="14"/>
        <v>134741915</v>
      </c>
      <c r="AG41" s="40">
        <f>IF(461372500=0,0,359394266/461372500)</f>
        <v>0.7789676801283129</v>
      </c>
      <c r="AH41" s="40">
        <f t="shared" si="15"/>
        <v>0.43218839512560003</v>
      </c>
      <c r="AI41" s="12">
        <v>461372500</v>
      </c>
      <c r="AJ41" s="12">
        <v>461372500</v>
      </c>
      <c r="AK41" s="12">
        <v>359394266</v>
      </c>
      <c r="AL41" s="12"/>
    </row>
    <row r="42" spans="1:38" s="13" customFormat="1" ht="12.75">
      <c r="A42" s="29" t="s">
        <v>115</v>
      </c>
      <c r="B42" s="60" t="s">
        <v>442</v>
      </c>
      <c r="C42" s="39" t="s">
        <v>443</v>
      </c>
      <c r="D42" s="77">
        <v>685318000</v>
      </c>
      <c r="E42" s="78">
        <v>1077466000</v>
      </c>
      <c r="F42" s="79">
        <f t="shared" si="0"/>
        <v>1762784000</v>
      </c>
      <c r="G42" s="77">
        <v>685318000</v>
      </c>
      <c r="H42" s="78">
        <v>1077466000</v>
      </c>
      <c r="I42" s="80">
        <f t="shared" si="1"/>
        <v>1762784000</v>
      </c>
      <c r="J42" s="77">
        <v>245526896</v>
      </c>
      <c r="K42" s="78">
        <v>17845074</v>
      </c>
      <c r="L42" s="78">
        <f t="shared" si="2"/>
        <v>263371970</v>
      </c>
      <c r="M42" s="40">
        <f t="shared" si="3"/>
        <v>0.14940683033202026</v>
      </c>
      <c r="N42" s="105">
        <v>103669880</v>
      </c>
      <c r="O42" s="106">
        <v>99692061</v>
      </c>
      <c r="P42" s="107">
        <f t="shared" si="4"/>
        <v>203361941</v>
      </c>
      <c r="Q42" s="40">
        <f t="shared" si="5"/>
        <v>0.11536407239911413</v>
      </c>
      <c r="R42" s="105">
        <v>28614440</v>
      </c>
      <c r="S42" s="107">
        <v>78314298</v>
      </c>
      <c r="T42" s="107">
        <f t="shared" si="6"/>
        <v>106928738</v>
      </c>
      <c r="U42" s="40">
        <f t="shared" si="7"/>
        <v>0.06065901324268884</v>
      </c>
      <c r="V42" s="105">
        <v>0</v>
      </c>
      <c r="W42" s="107">
        <v>0</v>
      </c>
      <c r="X42" s="107">
        <f t="shared" si="8"/>
        <v>0</v>
      </c>
      <c r="Y42" s="40">
        <f t="shared" si="9"/>
        <v>0</v>
      </c>
      <c r="Z42" s="77">
        <f t="shared" si="10"/>
        <v>377811216</v>
      </c>
      <c r="AA42" s="78">
        <f t="shared" si="11"/>
        <v>195851433</v>
      </c>
      <c r="AB42" s="78">
        <f t="shared" si="12"/>
        <v>573662649</v>
      </c>
      <c r="AC42" s="40">
        <f t="shared" si="13"/>
        <v>0.3254299159738232</v>
      </c>
      <c r="AD42" s="77">
        <v>287392261</v>
      </c>
      <c r="AE42" s="78">
        <v>59238828</v>
      </c>
      <c r="AF42" s="78">
        <f t="shared" si="14"/>
        <v>346631089</v>
      </c>
      <c r="AG42" s="40">
        <f>IF(1623110952=0,0,638057060/1623110952)</f>
        <v>0.3931074824021026</v>
      </c>
      <c r="AH42" s="40">
        <f t="shared" si="15"/>
        <v>-0.6915200586638667</v>
      </c>
      <c r="AI42" s="12">
        <v>1634335000</v>
      </c>
      <c r="AJ42" s="12">
        <v>1623110952</v>
      </c>
      <c r="AK42" s="12">
        <v>638057060</v>
      </c>
      <c r="AL42" s="12"/>
    </row>
    <row r="43" spans="1:38" s="56" customFormat="1" ht="12.75">
      <c r="A43" s="61"/>
      <c r="B43" s="62" t="s">
        <v>444</v>
      </c>
      <c r="C43" s="32"/>
      <c r="D43" s="81">
        <f>SUM(D37:D42)</f>
        <v>2172869387</v>
      </c>
      <c r="E43" s="82">
        <f>SUM(E37:E42)</f>
        <v>1408823429</v>
      </c>
      <c r="F43" s="83">
        <f t="shared" si="0"/>
        <v>3581692816</v>
      </c>
      <c r="G43" s="81">
        <f>SUM(G37:G42)</f>
        <v>1891206453</v>
      </c>
      <c r="H43" s="82">
        <f>SUM(H37:H42)</f>
        <v>1838810406</v>
      </c>
      <c r="I43" s="90">
        <f t="shared" si="1"/>
        <v>3730016859</v>
      </c>
      <c r="J43" s="81">
        <f>SUM(J37:J42)</f>
        <v>749705101</v>
      </c>
      <c r="K43" s="92">
        <f>SUM(K37:K42)</f>
        <v>94029068</v>
      </c>
      <c r="L43" s="82">
        <f t="shared" si="2"/>
        <v>843734169</v>
      </c>
      <c r="M43" s="44">
        <f t="shared" si="3"/>
        <v>0.2355685460324524</v>
      </c>
      <c r="N43" s="111">
        <f>SUM(N37:N42)</f>
        <v>442506318</v>
      </c>
      <c r="O43" s="112">
        <f>SUM(O37:O42)</f>
        <v>221890091</v>
      </c>
      <c r="P43" s="113">
        <f t="shared" si="4"/>
        <v>664396409</v>
      </c>
      <c r="Q43" s="44">
        <f t="shared" si="5"/>
        <v>0.18549787576199556</v>
      </c>
      <c r="R43" s="111">
        <f>SUM(R37:R42)</f>
        <v>292573893</v>
      </c>
      <c r="S43" s="113">
        <f>SUM(S37:S42)</f>
        <v>237502953</v>
      </c>
      <c r="T43" s="113">
        <f t="shared" si="6"/>
        <v>530076846</v>
      </c>
      <c r="U43" s="44">
        <f t="shared" si="7"/>
        <v>0.1421111126404161</v>
      </c>
      <c r="V43" s="111">
        <f>SUM(V37:V42)</f>
        <v>0</v>
      </c>
      <c r="W43" s="113">
        <f>SUM(W37:W42)</f>
        <v>0</v>
      </c>
      <c r="X43" s="113">
        <f t="shared" si="8"/>
        <v>0</v>
      </c>
      <c r="Y43" s="44">
        <f t="shared" si="9"/>
        <v>0</v>
      </c>
      <c r="Z43" s="81">
        <f t="shared" si="10"/>
        <v>1484785312</v>
      </c>
      <c r="AA43" s="82">
        <f t="shared" si="11"/>
        <v>553422112</v>
      </c>
      <c r="AB43" s="82">
        <f t="shared" si="12"/>
        <v>2038207424</v>
      </c>
      <c r="AC43" s="44">
        <f t="shared" si="13"/>
        <v>0.5464338369093682</v>
      </c>
      <c r="AD43" s="81">
        <f>SUM(AD37:AD42)</f>
        <v>620702247</v>
      </c>
      <c r="AE43" s="82">
        <f>SUM(AE37:AE42)</f>
        <v>133047270</v>
      </c>
      <c r="AF43" s="82">
        <f t="shared" si="14"/>
        <v>753749517</v>
      </c>
      <c r="AG43" s="44">
        <f>IF(1623110952=0,0,638057060/1623110952)</f>
        <v>0.3931074824021026</v>
      </c>
      <c r="AH43" s="44">
        <f t="shared" si="15"/>
        <v>-0.2967466856764832</v>
      </c>
      <c r="AI43" s="63">
        <f>SUM(AI37:AI42)</f>
        <v>3283814815</v>
      </c>
      <c r="AJ43" s="63">
        <f>SUM(AJ37:AJ42)</f>
        <v>3252827458</v>
      </c>
      <c r="AK43" s="63">
        <f>SUM(AK37:AK42)</f>
        <v>1871456119</v>
      </c>
      <c r="AL43" s="63"/>
    </row>
    <row r="44" spans="1:38" s="56" customFormat="1" ht="12.75">
      <c r="A44" s="61"/>
      <c r="B44" s="62" t="s">
        <v>445</v>
      </c>
      <c r="C44" s="32"/>
      <c r="D44" s="81">
        <f>SUM(D9:D14,D16:D20,D22:D27,D29:D35,D37:D42)</f>
        <v>14104703710</v>
      </c>
      <c r="E44" s="82">
        <f>SUM(E9:E14,E16:E20,E22:E27,E29:E35,E37:E42)</f>
        <v>5713799722</v>
      </c>
      <c r="F44" s="83">
        <f t="shared" si="0"/>
        <v>19818503432</v>
      </c>
      <c r="G44" s="81">
        <f>SUM(G9:G14,G16:G20,G22:G27,G29:G35,G37:G42)</f>
        <v>12772923973</v>
      </c>
      <c r="H44" s="82">
        <f>SUM(H9:H14,H16:H20,H22:H27,H29:H35,H37:H42)</f>
        <v>6316822319</v>
      </c>
      <c r="I44" s="90">
        <f t="shared" si="1"/>
        <v>19089746292</v>
      </c>
      <c r="J44" s="81">
        <f>SUM(J9:J14,J16:J20,J22:J27,J29:J35,J37:J42)</f>
        <v>4426452191</v>
      </c>
      <c r="K44" s="92">
        <f>SUM(K9:K14,K16:K20,K22:K27,K29:K35,K37:K42)</f>
        <v>595080924</v>
      </c>
      <c r="L44" s="82">
        <f t="shared" si="2"/>
        <v>5021533115</v>
      </c>
      <c r="M44" s="44">
        <f t="shared" si="3"/>
        <v>0.2533759994658309</v>
      </c>
      <c r="N44" s="111">
        <f>SUM(N9:N14,N16:N20,N22:N27,N29:N35,N37:N42)</f>
        <v>3160319257</v>
      </c>
      <c r="O44" s="112">
        <f>SUM(O9:O14,O16:O20,O22:O27,O29:O35,O37:O42)</f>
        <v>1022291238</v>
      </c>
      <c r="P44" s="113">
        <f t="shared" si="4"/>
        <v>4182610495</v>
      </c>
      <c r="Q44" s="44">
        <f t="shared" si="5"/>
        <v>0.21104572852087997</v>
      </c>
      <c r="R44" s="111">
        <f>SUM(R9:R14,R16:R20,R22:R27,R29:R35,R37:R42)</f>
        <v>2978577860</v>
      </c>
      <c r="S44" s="113">
        <f>SUM(S9:S14,S16:S20,S22:S27,S29:S35,S37:S42)</f>
        <v>863028038</v>
      </c>
      <c r="T44" s="113">
        <f t="shared" si="6"/>
        <v>3841605898</v>
      </c>
      <c r="U44" s="44">
        <f t="shared" si="7"/>
        <v>0.20123923279220918</v>
      </c>
      <c r="V44" s="111">
        <f>SUM(V9:V14,V16:V20,V22:V27,V29:V35,V37:V42)</f>
        <v>0</v>
      </c>
      <c r="W44" s="113">
        <f>SUM(W9:W14,W16:W20,W22:W27,W29:W35,W37:W42)</f>
        <v>0</v>
      </c>
      <c r="X44" s="113">
        <f t="shared" si="8"/>
        <v>0</v>
      </c>
      <c r="Y44" s="44">
        <f t="shared" si="9"/>
        <v>0</v>
      </c>
      <c r="Z44" s="81">
        <f t="shared" si="10"/>
        <v>10565349308</v>
      </c>
      <c r="AA44" s="82">
        <f t="shared" si="11"/>
        <v>2480400200</v>
      </c>
      <c r="AB44" s="82">
        <f t="shared" si="12"/>
        <v>13045749508</v>
      </c>
      <c r="AC44" s="44">
        <f t="shared" si="13"/>
        <v>0.6833904080468122</v>
      </c>
      <c r="AD44" s="81">
        <f>SUM(AD9:AD14,AD16:AD20,AD22:AD27,AD29:AD35,AD37:AD42)</f>
        <v>2927705817</v>
      </c>
      <c r="AE44" s="82">
        <f>SUM(AE9:AE14,AE16:AE20,AE22:AE27,AE29:AE35,AE37:AE42)</f>
        <v>715932376</v>
      </c>
      <c r="AF44" s="82">
        <f t="shared" si="14"/>
        <v>3643638193</v>
      </c>
      <c r="AG44" s="44">
        <f>IF(1623110952=0,0,638057060/1623110952)</f>
        <v>0.3931074824021026</v>
      </c>
      <c r="AH44" s="44">
        <f t="shared" si="15"/>
        <v>0.05433242668833782</v>
      </c>
      <c r="AI44" s="63">
        <f>SUM(AI9:AI14,AI16:AI20,AI22:AI27,AI29:AI35,AI37:AI42)</f>
        <v>18170158140</v>
      </c>
      <c r="AJ44" s="63">
        <f>SUM(AJ9:AJ14,AJ16:AJ20,AJ22:AJ27,AJ29:AJ35,AJ37:AJ42)</f>
        <v>18328705316</v>
      </c>
      <c r="AK44" s="63">
        <f>SUM(AK9:AK14,AK16:AK20,AK22:AK27,AK29:AK35,AK37:AK42)</f>
        <v>11103110975</v>
      </c>
      <c r="AL44" s="63"/>
    </row>
    <row r="45" spans="1:38" s="13" customFormat="1" ht="12.75">
      <c r="A45" s="64"/>
      <c r="B45" s="65"/>
      <c r="C45" s="66"/>
      <c r="D45" s="93"/>
      <c r="E45" s="93"/>
      <c r="F45" s="94"/>
      <c r="G45" s="95"/>
      <c r="H45" s="93"/>
      <c r="I45" s="96"/>
      <c r="J45" s="95"/>
      <c r="K45" s="97"/>
      <c r="L45" s="93"/>
      <c r="M45" s="70"/>
      <c r="N45" s="95"/>
      <c r="O45" s="97"/>
      <c r="P45" s="93"/>
      <c r="Q45" s="70"/>
      <c r="R45" s="95"/>
      <c r="S45" s="97"/>
      <c r="T45" s="93"/>
      <c r="U45" s="70"/>
      <c r="V45" s="95"/>
      <c r="W45" s="97"/>
      <c r="X45" s="93"/>
      <c r="Y45" s="70"/>
      <c r="Z45" s="95"/>
      <c r="AA45" s="97"/>
      <c r="AB45" s="93"/>
      <c r="AC45" s="70"/>
      <c r="AD45" s="95"/>
      <c r="AE45" s="93"/>
      <c r="AF45" s="93"/>
      <c r="AG45" s="70"/>
      <c r="AH45" s="70"/>
      <c r="AI45" s="12"/>
      <c r="AJ45" s="12"/>
      <c r="AK45" s="12"/>
      <c r="AL45" s="12"/>
    </row>
    <row r="46" spans="1:38" s="73" customFormat="1" ht="12.75">
      <c r="A46" s="75"/>
      <c r="B46" s="75"/>
      <c r="C46" s="75"/>
      <c r="D46" s="98"/>
      <c r="E46" s="98"/>
      <c r="F46" s="98"/>
      <c r="G46" s="98"/>
      <c r="H46" s="98"/>
      <c r="I46" s="98"/>
      <c r="J46" s="98"/>
      <c r="K46" s="98"/>
      <c r="L46" s="98"/>
      <c r="M46" s="75"/>
      <c r="N46" s="98"/>
      <c r="O46" s="98"/>
      <c r="P46" s="98"/>
      <c r="Q46" s="75"/>
      <c r="R46" s="98"/>
      <c r="S46" s="98"/>
      <c r="T46" s="98"/>
      <c r="U46" s="75"/>
      <c r="V46" s="98"/>
      <c r="W46" s="98"/>
      <c r="X46" s="98"/>
      <c r="Y46" s="75"/>
      <c r="Z46" s="98"/>
      <c r="AA46" s="98"/>
      <c r="AB46" s="98"/>
      <c r="AC46" s="75"/>
      <c r="AD46" s="98"/>
      <c r="AE46" s="98"/>
      <c r="AF46" s="98"/>
      <c r="AG46" s="75"/>
      <c r="AH46" s="75"/>
      <c r="AI46" s="75"/>
      <c r="AJ46" s="75"/>
      <c r="AK46" s="75"/>
      <c r="AL46" s="75"/>
    </row>
    <row r="47" spans="1:38" s="74" customFormat="1" ht="12.75">
      <c r="A47" s="76"/>
      <c r="B47" s="76"/>
      <c r="C47" s="76"/>
      <c r="D47" s="99"/>
      <c r="E47" s="99"/>
      <c r="F47" s="99"/>
      <c r="G47" s="99"/>
      <c r="H47" s="99"/>
      <c r="I47" s="99"/>
      <c r="J47" s="99"/>
      <c r="K47" s="99"/>
      <c r="L47" s="99"/>
      <c r="M47" s="76"/>
      <c r="N47" s="99"/>
      <c r="O47" s="99"/>
      <c r="P47" s="99"/>
      <c r="Q47" s="76"/>
      <c r="R47" s="99"/>
      <c r="S47" s="99"/>
      <c r="T47" s="99"/>
      <c r="U47" s="76"/>
      <c r="V47" s="99"/>
      <c r="W47" s="99"/>
      <c r="X47" s="99"/>
      <c r="Y47" s="76"/>
      <c r="Z47" s="99"/>
      <c r="AA47" s="99"/>
      <c r="AB47" s="99"/>
      <c r="AC47" s="76"/>
      <c r="AD47" s="99"/>
      <c r="AE47" s="99"/>
      <c r="AF47" s="99"/>
      <c r="AG47" s="76"/>
      <c r="AH47" s="76"/>
      <c r="AI47" s="76"/>
      <c r="AJ47" s="76"/>
      <c r="AK47" s="76"/>
      <c r="AL47" s="76"/>
    </row>
    <row r="48" spans="1:38" s="74" customFormat="1" ht="12.75">
      <c r="A48" s="76"/>
      <c r="B48" s="76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76"/>
      <c r="N48" s="99"/>
      <c r="O48" s="99"/>
      <c r="P48" s="99"/>
      <c r="Q48" s="76"/>
      <c r="R48" s="99"/>
      <c r="S48" s="99"/>
      <c r="T48" s="99"/>
      <c r="U48" s="76"/>
      <c r="V48" s="99"/>
      <c r="W48" s="99"/>
      <c r="X48" s="99"/>
      <c r="Y48" s="76"/>
      <c r="Z48" s="99"/>
      <c r="AA48" s="99"/>
      <c r="AB48" s="99"/>
      <c r="AC48" s="76"/>
      <c r="AD48" s="99"/>
      <c r="AE48" s="99"/>
      <c r="AF48" s="99"/>
      <c r="AG48" s="76"/>
      <c r="AH48" s="76"/>
      <c r="AI48" s="76"/>
      <c r="AJ48" s="76"/>
      <c r="AK48" s="76"/>
      <c r="AL48" s="76"/>
    </row>
    <row r="49" spans="1:38" s="74" customFormat="1" ht="12.75">
      <c r="A49" s="76"/>
      <c r="B49" s="76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76"/>
      <c r="N49" s="99"/>
      <c r="O49" s="99"/>
      <c r="P49" s="99"/>
      <c r="Q49" s="76"/>
      <c r="R49" s="99"/>
      <c r="S49" s="99"/>
      <c r="T49" s="99"/>
      <c r="U49" s="76"/>
      <c r="V49" s="99"/>
      <c r="W49" s="99"/>
      <c r="X49" s="99"/>
      <c r="Y49" s="76"/>
      <c r="Z49" s="99"/>
      <c r="AA49" s="99"/>
      <c r="AB49" s="99"/>
      <c r="AC49" s="76"/>
      <c r="AD49" s="99"/>
      <c r="AE49" s="99"/>
      <c r="AF49" s="99"/>
      <c r="AG49" s="76"/>
      <c r="AH49" s="76"/>
      <c r="AI49" s="76"/>
      <c r="AJ49" s="76"/>
      <c r="AK49" s="76"/>
      <c r="AL49" s="76"/>
    </row>
    <row r="50" spans="1:38" s="74" customFormat="1" ht="12.75">
      <c r="A50" s="76"/>
      <c r="B50" s="76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76"/>
      <c r="N50" s="99"/>
      <c r="O50" s="99"/>
      <c r="P50" s="99"/>
      <c r="Q50" s="76"/>
      <c r="R50" s="99"/>
      <c r="S50" s="99"/>
      <c r="T50" s="99"/>
      <c r="U50" s="76"/>
      <c r="V50" s="99"/>
      <c r="W50" s="99"/>
      <c r="X50" s="99"/>
      <c r="Y50" s="76"/>
      <c r="Z50" s="99"/>
      <c r="AA50" s="99"/>
      <c r="AB50" s="99"/>
      <c r="AC50" s="76"/>
      <c r="AD50" s="99"/>
      <c r="AE50" s="99"/>
      <c r="AF50" s="99"/>
      <c r="AG50" s="76"/>
      <c r="AH50" s="76"/>
      <c r="AI50" s="76"/>
      <c r="AJ50" s="76"/>
      <c r="AK50" s="76"/>
      <c r="AL50" s="76"/>
    </row>
    <row r="51" spans="1:38" s="74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74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74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74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74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74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74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74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74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74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74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74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74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74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74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74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74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74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74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74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74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74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74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74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74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74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74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74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74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74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74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74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74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74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656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0" t="s">
        <v>1</v>
      </c>
      <c r="E4" s="120"/>
      <c r="F4" s="120"/>
      <c r="G4" s="120" t="s">
        <v>2</v>
      </c>
      <c r="H4" s="120"/>
      <c r="I4" s="120"/>
      <c r="J4" s="121" t="s">
        <v>3</v>
      </c>
      <c r="K4" s="122"/>
      <c r="L4" s="122"/>
      <c r="M4" s="123"/>
      <c r="N4" s="121" t="s">
        <v>4</v>
      </c>
      <c r="O4" s="124"/>
      <c r="P4" s="124"/>
      <c r="Q4" s="125"/>
      <c r="R4" s="121" t="s">
        <v>5</v>
      </c>
      <c r="S4" s="124"/>
      <c r="T4" s="124"/>
      <c r="U4" s="125"/>
      <c r="V4" s="121" t="s">
        <v>6</v>
      </c>
      <c r="W4" s="126"/>
      <c r="X4" s="126"/>
      <c r="Y4" s="127"/>
      <c r="Z4" s="121" t="s">
        <v>7</v>
      </c>
      <c r="AA4" s="122"/>
      <c r="AB4" s="122"/>
      <c r="AC4" s="123"/>
      <c r="AD4" s="121" t="s">
        <v>8</v>
      </c>
      <c r="AE4" s="122"/>
      <c r="AF4" s="122"/>
      <c r="AG4" s="123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9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0" t="s">
        <v>446</v>
      </c>
      <c r="C9" s="39" t="s">
        <v>447</v>
      </c>
      <c r="D9" s="77">
        <v>336127576</v>
      </c>
      <c r="E9" s="78">
        <v>109886450</v>
      </c>
      <c r="F9" s="79">
        <f>$D9+$E9</f>
        <v>446014026</v>
      </c>
      <c r="G9" s="77">
        <v>340804846</v>
      </c>
      <c r="H9" s="78">
        <v>109886450</v>
      </c>
      <c r="I9" s="80">
        <f>$G9+$H9</f>
        <v>450691296</v>
      </c>
      <c r="J9" s="77">
        <v>93144263</v>
      </c>
      <c r="K9" s="78">
        <v>24168958</v>
      </c>
      <c r="L9" s="78">
        <f>$J9+$K9</f>
        <v>117313221</v>
      </c>
      <c r="M9" s="40">
        <f>IF($F9=0,0,$L9/$F9)</f>
        <v>0.2630258560523386</v>
      </c>
      <c r="N9" s="105">
        <v>91439252</v>
      </c>
      <c r="O9" s="106">
        <v>17448438</v>
      </c>
      <c r="P9" s="107">
        <f>$N9+$O9</f>
        <v>108887690</v>
      </c>
      <c r="Q9" s="40">
        <f>IF($F9=0,0,$P9/$F9)</f>
        <v>0.24413512502407267</v>
      </c>
      <c r="R9" s="105">
        <v>76292974</v>
      </c>
      <c r="S9" s="107">
        <v>22669782</v>
      </c>
      <c r="T9" s="107">
        <f>$R9+$S9</f>
        <v>98962756</v>
      </c>
      <c r="U9" s="40">
        <f>IF($I9=0,0,$T9/$I9)</f>
        <v>0.21957991396399187</v>
      </c>
      <c r="V9" s="105">
        <v>0</v>
      </c>
      <c r="W9" s="107">
        <v>0</v>
      </c>
      <c r="X9" s="107">
        <f>$V9+$W9</f>
        <v>0</v>
      </c>
      <c r="Y9" s="40">
        <f>IF($I9=0,0,$X9/$I9)</f>
        <v>0</v>
      </c>
      <c r="Z9" s="77">
        <f>$J9+$N9+$R9</f>
        <v>260876489</v>
      </c>
      <c r="AA9" s="78">
        <f>$K9+$O9+$S9</f>
        <v>64287178</v>
      </c>
      <c r="AB9" s="78">
        <f>$Z9+$AA9</f>
        <v>325163667</v>
      </c>
      <c r="AC9" s="40">
        <f>IF($I9=0,0,$AB9/$I9)</f>
        <v>0.7214775831836788</v>
      </c>
      <c r="AD9" s="77">
        <v>15479548</v>
      </c>
      <c r="AE9" s="78">
        <v>22254902</v>
      </c>
      <c r="AF9" s="78">
        <f>$AD9+$AE9</f>
        <v>37734450</v>
      </c>
      <c r="AG9" s="40">
        <f>IF(451083798=0,0,195064168/451083798)</f>
        <v>0.4324344364946577</v>
      </c>
      <c r="AH9" s="40">
        <f>IF($AF9=0,0,(($T9/$AF9)-1))</f>
        <v>1.6226102672756593</v>
      </c>
      <c r="AI9" s="12">
        <v>399210370</v>
      </c>
      <c r="AJ9" s="12">
        <v>451083798</v>
      </c>
      <c r="AK9" s="12">
        <v>195064168</v>
      </c>
      <c r="AL9" s="12"/>
    </row>
    <row r="10" spans="1:38" s="13" customFormat="1" ht="12.75">
      <c r="A10" s="29" t="s">
        <v>96</v>
      </c>
      <c r="B10" s="60" t="s">
        <v>448</v>
      </c>
      <c r="C10" s="39" t="s">
        <v>449</v>
      </c>
      <c r="D10" s="77">
        <v>544172190</v>
      </c>
      <c r="E10" s="78">
        <v>89900150</v>
      </c>
      <c r="F10" s="80">
        <f aca="true" t="shared" si="0" ref="F10:F33">$D10+$E10</f>
        <v>634072340</v>
      </c>
      <c r="G10" s="77">
        <v>582572406</v>
      </c>
      <c r="H10" s="78">
        <v>61066150</v>
      </c>
      <c r="I10" s="80">
        <f aca="true" t="shared" si="1" ref="I10:I33">$G10+$H10</f>
        <v>643638556</v>
      </c>
      <c r="J10" s="77">
        <v>173962882</v>
      </c>
      <c r="K10" s="78">
        <v>289375</v>
      </c>
      <c r="L10" s="78">
        <f aca="true" t="shared" si="2" ref="L10:L33">$J10+$K10</f>
        <v>174252257</v>
      </c>
      <c r="M10" s="40">
        <f aca="true" t="shared" si="3" ref="M10:M33">IF($F10=0,0,$L10/$F10)</f>
        <v>0.27481447463865083</v>
      </c>
      <c r="N10" s="105">
        <v>57854817</v>
      </c>
      <c r="O10" s="106">
        <v>3253906</v>
      </c>
      <c r="P10" s="107">
        <f aca="true" t="shared" si="4" ref="P10:P33">$N10+$O10</f>
        <v>61108723</v>
      </c>
      <c r="Q10" s="40">
        <f aca="true" t="shared" si="5" ref="Q10:Q33">IF($F10=0,0,$P10/$F10)</f>
        <v>0.09637500194378452</v>
      </c>
      <c r="R10" s="105">
        <v>134050276</v>
      </c>
      <c r="S10" s="107">
        <v>9056240</v>
      </c>
      <c r="T10" s="107">
        <f aca="true" t="shared" si="6" ref="T10:T33">$R10+$S10</f>
        <v>143106516</v>
      </c>
      <c r="U10" s="40">
        <f aca="true" t="shared" si="7" ref="U10:U33">IF($I10=0,0,$T10/$I10)</f>
        <v>0.22233987486604206</v>
      </c>
      <c r="V10" s="105">
        <v>0</v>
      </c>
      <c r="W10" s="107">
        <v>0</v>
      </c>
      <c r="X10" s="107">
        <f aca="true" t="shared" si="8" ref="X10:X33">$V10+$W10</f>
        <v>0</v>
      </c>
      <c r="Y10" s="40">
        <f aca="true" t="shared" si="9" ref="Y10:Y33">IF($I10=0,0,$X10/$I10)</f>
        <v>0</v>
      </c>
      <c r="Z10" s="77">
        <f aca="true" t="shared" si="10" ref="Z10:Z33">$J10+$N10+$R10</f>
        <v>365867975</v>
      </c>
      <c r="AA10" s="78">
        <f aca="true" t="shared" si="11" ref="AA10:AA33">$K10+$O10+$S10</f>
        <v>12599521</v>
      </c>
      <c r="AB10" s="78">
        <f aca="true" t="shared" si="12" ref="AB10:AB33">$Z10+$AA10</f>
        <v>378467496</v>
      </c>
      <c r="AC10" s="40">
        <f aca="true" t="shared" si="13" ref="AC10:AC33">IF($I10=0,0,$AB10/$I10)</f>
        <v>0.5880124682897337</v>
      </c>
      <c r="AD10" s="77">
        <v>89127280</v>
      </c>
      <c r="AE10" s="78">
        <v>6724833</v>
      </c>
      <c r="AF10" s="78">
        <f aca="true" t="shared" si="14" ref="AF10:AF33">$AD10+$AE10</f>
        <v>95852113</v>
      </c>
      <c r="AG10" s="40">
        <f>IF(606259019=0,0,356196602/606259019)</f>
        <v>0.5875320462655254</v>
      </c>
      <c r="AH10" s="40">
        <f aca="true" t="shared" si="15" ref="AH10:AH33">IF($AF10=0,0,(($T10/$AF10)-1))</f>
        <v>0.492992814879313</v>
      </c>
      <c r="AI10" s="12">
        <v>596536197</v>
      </c>
      <c r="AJ10" s="12">
        <v>606259019</v>
      </c>
      <c r="AK10" s="12">
        <v>356196602</v>
      </c>
      <c r="AL10" s="12"/>
    </row>
    <row r="11" spans="1:38" s="13" customFormat="1" ht="12.75">
      <c r="A11" s="29" t="s">
        <v>96</v>
      </c>
      <c r="B11" s="60" t="s">
        <v>450</v>
      </c>
      <c r="C11" s="39" t="s">
        <v>451</v>
      </c>
      <c r="D11" s="77">
        <v>362117998</v>
      </c>
      <c r="E11" s="78">
        <v>92932158</v>
      </c>
      <c r="F11" s="79">
        <f t="shared" si="0"/>
        <v>455050156</v>
      </c>
      <c r="G11" s="77">
        <v>397149650</v>
      </c>
      <c r="H11" s="78">
        <v>240605087</v>
      </c>
      <c r="I11" s="80">
        <f t="shared" si="1"/>
        <v>637754737</v>
      </c>
      <c r="J11" s="77">
        <v>116517162</v>
      </c>
      <c r="K11" s="78">
        <v>27798399</v>
      </c>
      <c r="L11" s="78">
        <f t="shared" si="2"/>
        <v>144315561</v>
      </c>
      <c r="M11" s="40">
        <f t="shared" si="3"/>
        <v>0.3171420976284645</v>
      </c>
      <c r="N11" s="105">
        <v>102025512</v>
      </c>
      <c r="O11" s="106">
        <v>85068754</v>
      </c>
      <c r="P11" s="107">
        <f t="shared" si="4"/>
        <v>187094266</v>
      </c>
      <c r="Q11" s="40">
        <f t="shared" si="5"/>
        <v>0.4111508666310621</v>
      </c>
      <c r="R11" s="105">
        <v>88540061</v>
      </c>
      <c r="S11" s="107">
        <v>32759009</v>
      </c>
      <c r="T11" s="107">
        <f t="shared" si="6"/>
        <v>121299070</v>
      </c>
      <c r="U11" s="40">
        <f t="shared" si="7"/>
        <v>0.19019705062574863</v>
      </c>
      <c r="V11" s="105">
        <v>0</v>
      </c>
      <c r="W11" s="107">
        <v>0</v>
      </c>
      <c r="X11" s="107">
        <f t="shared" si="8"/>
        <v>0</v>
      </c>
      <c r="Y11" s="40">
        <f t="shared" si="9"/>
        <v>0</v>
      </c>
      <c r="Z11" s="77">
        <f t="shared" si="10"/>
        <v>307082735</v>
      </c>
      <c r="AA11" s="78">
        <f t="shared" si="11"/>
        <v>145626162</v>
      </c>
      <c r="AB11" s="78">
        <f t="shared" si="12"/>
        <v>452708897</v>
      </c>
      <c r="AC11" s="40">
        <f t="shared" si="13"/>
        <v>0.709847956801613</v>
      </c>
      <c r="AD11" s="77">
        <v>51544237</v>
      </c>
      <c r="AE11" s="78">
        <v>15489226</v>
      </c>
      <c r="AF11" s="78">
        <f t="shared" si="14"/>
        <v>67033463</v>
      </c>
      <c r="AG11" s="40">
        <f>IF(440496192=0,0,289540374/440496192)</f>
        <v>0.6573050556586877</v>
      </c>
      <c r="AH11" s="40">
        <f t="shared" si="15"/>
        <v>0.8095301148323488</v>
      </c>
      <c r="AI11" s="12">
        <v>434870822</v>
      </c>
      <c r="AJ11" s="12">
        <v>440496192</v>
      </c>
      <c r="AK11" s="12">
        <v>289540374</v>
      </c>
      <c r="AL11" s="12"/>
    </row>
    <row r="12" spans="1:38" s="13" customFormat="1" ht="12.75">
      <c r="A12" s="29" t="s">
        <v>96</v>
      </c>
      <c r="B12" s="60" t="s">
        <v>452</v>
      </c>
      <c r="C12" s="39" t="s">
        <v>453</v>
      </c>
      <c r="D12" s="77">
        <v>279493890</v>
      </c>
      <c r="E12" s="78">
        <v>44639860</v>
      </c>
      <c r="F12" s="79">
        <f t="shared" si="0"/>
        <v>324133750</v>
      </c>
      <c r="G12" s="77">
        <v>291987545</v>
      </c>
      <c r="H12" s="78">
        <v>44639860</v>
      </c>
      <c r="I12" s="80">
        <f t="shared" si="1"/>
        <v>336627405</v>
      </c>
      <c r="J12" s="77">
        <v>75776412</v>
      </c>
      <c r="K12" s="78">
        <v>5294910</v>
      </c>
      <c r="L12" s="78">
        <f t="shared" si="2"/>
        <v>81071322</v>
      </c>
      <c r="M12" s="40">
        <f t="shared" si="3"/>
        <v>0.25011687922038356</v>
      </c>
      <c r="N12" s="105">
        <v>72481289</v>
      </c>
      <c r="O12" s="106">
        <v>1505880</v>
      </c>
      <c r="P12" s="107">
        <f t="shared" si="4"/>
        <v>73987169</v>
      </c>
      <c r="Q12" s="40">
        <f t="shared" si="5"/>
        <v>0.22826123166748294</v>
      </c>
      <c r="R12" s="105">
        <v>79974763</v>
      </c>
      <c r="S12" s="107">
        <v>14854167</v>
      </c>
      <c r="T12" s="107">
        <f t="shared" si="6"/>
        <v>94828930</v>
      </c>
      <c r="U12" s="40">
        <f t="shared" si="7"/>
        <v>0.28170294097119036</v>
      </c>
      <c r="V12" s="105">
        <v>0</v>
      </c>
      <c r="W12" s="107">
        <v>0</v>
      </c>
      <c r="X12" s="107">
        <f t="shared" si="8"/>
        <v>0</v>
      </c>
      <c r="Y12" s="40">
        <f t="shared" si="9"/>
        <v>0</v>
      </c>
      <c r="Z12" s="77">
        <f t="shared" si="10"/>
        <v>228232464</v>
      </c>
      <c r="AA12" s="78">
        <f t="shared" si="11"/>
        <v>21654957</v>
      </c>
      <c r="AB12" s="78">
        <f t="shared" si="12"/>
        <v>249887421</v>
      </c>
      <c r="AC12" s="40">
        <f t="shared" si="13"/>
        <v>0.7423264335831481</v>
      </c>
      <c r="AD12" s="77">
        <v>90532298</v>
      </c>
      <c r="AE12" s="78">
        <v>15746001</v>
      </c>
      <c r="AF12" s="78">
        <f t="shared" si="14"/>
        <v>106278299</v>
      </c>
      <c r="AG12" s="40">
        <f>IF(255000293=0,0,210921072/255000293)</f>
        <v>0.8271405084228668</v>
      </c>
      <c r="AH12" s="40">
        <f t="shared" si="15"/>
        <v>-0.1077300738507303</v>
      </c>
      <c r="AI12" s="12">
        <v>264406945</v>
      </c>
      <c r="AJ12" s="12">
        <v>255000293</v>
      </c>
      <c r="AK12" s="12">
        <v>210921072</v>
      </c>
      <c r="AL12" s="12"/>
    </row>
    <row r="13" spans="1:38" s="13" customFormat="1" ht="12.75">
      <c r="A13" s="29" t="s">
        <v>96</v>
      </c>
      <c r="B13" s="60" t="s">
        <v>454</v>
      </c>
      <c r="C13" s="39" t="s">
        <v>455</v>
      </c>
      <c r="D13" s="77">
        <v>596468940</v>
      </c>
      <c r="E13" s="78">
        <v>29678150</v>
      </c>
      <c r="F13" s="79">
        <f t="shared" si="0"/>
        <v>626147090</v>
      </c>
      <c r="G13" s="77">
        <v>596468940</v>
      </c>
      <c r="H13" s="78">
        <v>29678150</v>
      </c>
      <c r="I13" s="80">
        <f t="shared" si="1"/>
        <v>626147090</v>
      </c>
      <c r="J13" s="77">
        <v>115689520</v>
      </c>
      <c r="K13" s="78">
        <v>3964742</v>
      </c>
      <c r="L13" s="78">
        <f t="shared" si="2"/>
        <v>119654262</v>
      </c>
      <c r="M13" s="40">
        <f t="shared" si="3"/>
        <v>0.19109609213387863</v>
      </c>
      <c r="N13" s="105">
        <v>120811047</v>
      </c>
      <c r="O13" s="106">
        <v>8768826</v>
      </c>
      <c r="P13" s="107">
        <f t="shared" si="4"/>
        <v>129579873</v>
      </c>
      <c r="Q13" s="40">
        <f t="shared" si="5"/>
        <v>0.2069479760738008</v>
      </c>
      <c r="R13" s="105">
        <v>63607736</v>
      </c>
      <c r="S13" s="107">
        <v>1937212</v>
      </c>
      <c r="T13" s="107">
        <f t="shared" si="6"/>
        <v>65544948</v>
      </c>
      <c r="U13" s="40">
        <f t="shared" si="7"/>
        <v>0.10467979336931839</v>
      </c>
      <c r="V13" s="105">
        <v>0</v>
      </c>
      <c r="W13" s="107">
        <v>0</v>
      </c>
      <c r="X13" s="107">
        <f t="shared" si="8"/>
        <v>0</v>
      </c>
      <c r="Y13" s="40">
        <f t="shared" si="9"/>
        <v>0</v>
      </c>
      <c r="Z13" s="77">
        <f t="shared" si="10"/>
        <v>300108303</v>
      </c>
      <c r="AA13" s="78">
        <f t="shared" si="11"/>
        <v>14670780</v>
      </c>
      <c r="AB13" s="78">
        <f t="shared" si="12"/>
        <v>314779083</v>
      </c>
      <c r="AC13" s="40">
        <f t="shared" si="13"/>
        <v>0.5027238615769978</v>
      </c>
      <c r="AD13" s="77">
        <v>106437573</v>
      </c>
      <c r="AE13" s="78">
        <v>7837147</v>
      </c>
      <c r="AF13" s="78">
        <f t="shared" si="14"/>
        <v>114274720</v>
      </c>
      <c r="AG13" s="40">
        <f>IF(615729498=0,0,332527593/615729498)</f>
        <v>0.5400546734891042</v>
      </c>
      <c r="AH13" s="40">
        <f t="shared" si="15"/>
        <v>-0.42642652723191976</v>
      </c>
      <c r="AI13" s="12">
        <v>525000090</v>
      </c>
      <c r="AJ13" s="12">
        <v>615729498</v>
      </c>
      <c r="AK13" s="12">
        <v>332527593</v>
      </c>
      <c r="AL13" s="12"/>
    </row>
    <row r="14" spans="1:38" s="13" customFormat="1" ht="12.75">
      <c r="A14" s="29" t="s">
        <v>96</v>
      </c>
      <c r="B14" s="60" t="s">
        <v>456</v>
      </c>
      <c r="C14" s="39" t="s">
        <v>457</v>
      </c>
      <c r="D14" s="77">
        <v>166812509</v>
      </c>
      <c r="E14" s="78">
        <v>59143000</v>
      </c>
      <c r="F14" s="79">
        <f t="shared" si="0"/>
        <v>225955509</v>
      </c>
      <c r="G14" s="77">
        <v>166812509</v>
      </c>
      <c r="H14" s="78">
        <v>59143000</v>
      </c>
      <c r="I14" s="80">
        <f t="shared" si="1"/>
        <v>225955509</v>
      </c>
      <c r="J14" s="77">
        <v>42623304</v>
      </c>
      <c r="K14" s="78">
        <v>4410617</v>
      </c>
      <c r="L14" s="78">
        <f t="shared" si="2"/>
        <v>47033921</v>
      </c>
      <c r="M14" s="40">
        <f t="shared" si="3"/>
        <v>0.20815567280548136</v>
      </c>
      <c r="N14" s="105">
        <v>37077414</v>
      </c>
      <c r="O14" s="106">
        <v>4197201</v>
      </c>
      <c r="P14" s="107">
        <f t="shared" si="4"/>
        <v>41274615</v>
      </c>
      <c r="Q14" s="40">
        <f t="shared" si="5"/>
        <v>0.1826670001659486</v>
      </c>
      <c r="R14" s="105">
        <v>42764343</v>
      </c>
      <c r="S14" s="107">
        <v>749326</v>
      </c>
      <c r="T14" s="107">
        <f t="shared" si="6"/>
        <v>43513669</v>
      </c>
      <c r="U14" s="40">
        <f t="shared" si="7"/>
        <v>0.19257626951684545</v>
      </c>
      <c r="V14" s="105">
        <v>0</v>
      </c>
      <c r="W14" s="107">
        <v>0</v>
      </c>
      <c r="X14" s="107">
        <f t="shared" si="8"/>
        <v>0</v>
      </c>
      <c r="Y14" s="40">
        <f t="shared" si="9"/>
        <v>0</v>
      </c>
      <c r="Z14" s="77">
        <f t="shared" si="10"/>
        <v>122465061</v>
      </c>
      <c r="AA14" s="78">
        <f t="shared" si="11"/>
        <v>9357144</v>
      </c>
      <c r="AB14" s="78">
        <f t="shared" si="12"/>
        <v>131822205</v>
      </c>
      <c r="AC14" s="40">
        <f t="shared" si="13"/>
        <v>0.5833989424882754</v>
      </c>
      <c r="AD14" s="77">
        <v>39008006</v>
      </c>
      <c r="AE14" s="78">
        <v>4970978</v>
      </c>
      <c r="AF14" s="78">
        <f t="shared" si="14"/>
        <v>43978984</v>
      </c>
      <c r="AG14" s="40">
        <f>IF(258247356=0,0,160918216/258247356)</f>
        <v>0.6231166060805672</v>
      </c>
      <c r="AH14" s="40">
        <f t="shared" si="15"/>
        <v>-0.010580394490241063</v>
      </c>
      <c r="AI14" s="12">
        <v>228160436</v>
      </c>
      <c r="AJ14" s="12">
        <v>258247356</v>
      </c>
      <c r="AK14" s="12">
        <v>160918216</v>
      </c>
      <c r="AL14" s="12"/>
    </row>
    <row r="15" spans="1:38" s="13" customFormat="1" ht="12.75">
      <c r="A15" s="29" t="s">
        <v>96</v>
      </c>
      <c r="B15" s="60" t="s">
        <v>66</v>
      </c>
      <c r="C15" s="39" t="s">
        <v>67</v>
      </c>
      <c r="D15" s="77">
        <v>1620570015</v>
      </c>
      <c r="E15" s="78">
        <v>106439000</v>
      </c>
      <c r="F15" s="79">
        <f t="shared" si="0"/>
        <v>1727009015</v>
      </c>
      <c r="G15" s="77">
        <v>1846094555</v>
      </c>
      <c r="H15" s="78">
        <v>143718726</v>
      </c>
      <c r="I15" s="80">
        <f t="shared" si="1"/>
        <v>1989813281</v>
      </c>
      <c r="J15" s="77">
        <v>439206250</v>
      </c>
      <c r="K15" s="78">
        <v>15085751</v>
      </c>
      <c r="L15" s="78">
        <f t="shared" si="2"/>
        <v>454292001</v>
      </c>
      <c r="M15" s="40">
        <f t="shared" si="3"/>
        <v>0.26305131997240905</v>
      </c>
      <c r="N15" s="105">
        <v>375501193</v>
      </c>
      <c r="O15" s="106">
        <v>16027876</v>
      </c>
      <c r="P15" s="107">
        <f t="shared" si="4"/>
        <v>391529069</v>
      </c>
      <c r="Q15" s="40">
        <f t="shared" si="5"/>
        <v>0.22670933712526103</v>
      </c>
      <c r="R15" s="105">
        <v>382435498</v>
      </c>
      <c r="S15" s="107">
        <v>12093190</v>
      </c>
      <c r="T15" s="107">
        <f t="shared" si="6"/>
        <v>394528688</v>
      </c>
      <c r="U15" s="40">
        <f t="shared" si="7"/>
        <v>0.19827422591215482</v>
      </c>
      <c r="V15" s="105">
        <v>0</v>
      </c>
      <c r="W15" s="107">
        <v>0</v>
      </c>
      <c r="X15" s="107">
        <f t="shared" si="8"/>
        <v>0</v>
      </c>
      <c r="Y15" s="40">
        <f t="shared" si="9"/>
        <v>0</v>
      </c>
      <c r="Z15" s="77">
        <f t="shared" si="10"/>
        <v>1197142941</v>
      </c>
      <c r="AA15" s="78">
        <f t="shared" si="11"/>
        <v>43206817</v>
      </c>
      <c r="AB15" s="78">
        <f t="shared" si="12"/>
        <v>1240349758</v>
      </c>
      <c r="AC15" s="40">
        <f t="shared" si="13"/>
        <v>0.6233498237466031</v>
      </c>
      <c r="AD15" s="77">
        <v>330731785</v>
      </c>
      <c r="AE15" s="78">
        <v>11646632</v>
      </c>
      <c r="AF15" s="78">
        <f t="shared" si="14"/>
        <v>342378417</v>
      </c>
      <c r="AG15" s="40">
        <f>IF(1753831279=0,0,1177820973/1753831279)</f>
        <v>0.6715702856386335</v>
      </c>
      <c r="AH15" s="40">
        <f t="shared" si="15"/>
        <v>0.15231763572293167</v>
      </c>
      <c r="AI15" s="12">
        <v>1734990258</v>
      </c>
      <c r="AJ15" s="12">
        <v>1753831279</v>
      </c>
      <c r="AK15" s="12">
        <v>1177820973</v>
      </c>
      <c r="AL15" s="12"/>
    </row>
    <row r="16" spans="1:38" s="13" customFormat="1" ht="12.75">
      <c r="A16" s="29" t="s">
        <v>115</v>
      </c>
      <c r="B16" s="60" t="s">
        <v>458</v>
      </c>
      <c r="C16" s="39" t="s">
        <v>459</v>
      </c>
      <c r="D16" s="77">
        <v>402662150</v>
      </c>
      <c r="E16" s="78">
        <v>21500000</v>
      </c>
      <c r="F16" s="79">
        <f t="shared" si="0"/>
        <v>424162150</v>
      </c>
      <c r="G16" s="77">
        <v>304656672</v>
      </c>
      <c r="H16" s="78">
        <v>10500000</v>
      </c>
      <c r="I16" s="80">
        <f t="shared" si="1"/>
        <v>315156672</v>
      </c>
      <c r="J16" s="77">
        <v>117321155</v>
      </c>
      <c r="K16" s="78">
        <v>522894</v>
      </c>
      <c r="L16" s="78">
        <f t="shared" si="2"/>
        <v>117844049</v>
      </c>
      <c r="M16" s="40">
        <f t="shared" si="3"/>
        <v>0.2778278283434767</v>
      </c>
      <c r="N16" s="105">
        <v>95604607</v>
      </c>
      <c r="O16" s="106">
        <v>159435</v>
      </c>
      <c r="P16" s="107">
        <f t="shared" si="4"/>
        <v>95764042</v>
      </c>
      <c r="Q16" s="40">
        <f t="shared" si="5"/>
        <v>0.22577224771234303</v>
      </c>
      <c r="R16" s="105">
        <v>74339516</v>
      </c>
      <c r="S16" s="107">
        <v>171900</v>
      </c>
      <c r="T16" s="107">
        <f t="shared" si="6"/>
        <v>74511416</v>
      </c>
      <c r="U16" s="40">
        <f t="shared" si="7"/>
        <v>0.23642658594897206</v>
      </c>
      <c r="V16" s="105">
        <v>0</v>
      </c>
      <c r="W16" s="107">
        <v>0</v>
      </c>
      <c r="X16" s="107">
        <f t="shared" si="8"/>
        <v>0</v>
      </c>
      <c r="Y16" s="40">
        <f t="shared" si="9"/>
        <v>0</v>
      </c>
      <c r="Z16" s="77">
        <f t="shared" si="10"/>
        <v>287265278</v>
      </c>
      <c r="AA16" s="78">
        <f t="shared" si="11"/>
        <v>854229</v>
      </c>
      <c r="AB16" s="78">
        <f t="shared" si="12"/>
        <v>288119507</v>
      </c>
      <c r="AC16" s="40">
        <f t="shared" si="13"/>
        <v>0.9142103994549099</v>
      </c>
      <c r="AD16" s="77">
        <v>90574299</v>
      </c>
      <c r="AE16" s="78">
        <v>1003219</v>
      </c>
      <c r="AF16" s="78">
        <f t="shared" si="14"/>
        <v>91577518</v>
      </c>
      <c r="AG16" s="40">
        <f>IF(323521000=0,0,302566461/323521000)</f>
        <v>0.9352297408823539</v>
      </c>
      <c r="AH16" s="40">
        <f t="shared" si="15"/>
        <v>-0.18635689602332306</v>
      </c>
      <c r="AI16" s="12">
        <v>399239160</v>
      </c>
      <c r="AJ16" s="12">
        <v>323521000</v>
      </c>
      <c r="AK16" s="12">
        <v>302566461</v>
      </c>
      <c r="AL16" s="12"/>
    </row>
    <row r="17" spans="1:38" s="56" customFormat="1" ht="12.75">
      <c r="A17" s="61"/>
      <c r="B17" s="62" t="s">
        <v>460</v>
      </c>
      <c r="C17" s="32"/>
      <c r="D17" s="81">
        <f>SUM(D9:D16)</f>
        <v>4308425268</v>
      </c>
      <c r="E17" s="82">
        <f>SUM(E9:E16)</f>
        <v>554118768</v>
      </c>
      <c r="F17" s="90">
        <f t="shared" si="0"/>
        <v>4862544036</v>
      </c>
      <c r="G17" s="81">
        <f>SUM(G9:G16)</f>
        <v>4526547123</v>
      </c>
      <c r="H17" s="82">
        <f>SUM(H9:H16)</f>
        <v>699237423</v>
      </c>
      <c r="I17" s="83">
        <f t="shared" si="1"/>
        <v>5225784546</v>
      </c>
      <c r="J17" s="81">
        <f>SUM(J9:J16)</f>
        <v>1174240948</v>
      </c>
      <c r="K17" s="82">
        <f>SUM(K9:K16)</f>
        <v>81535646</v>
      </c>
      <c r="L17" s="82">
        <f t="shared" si="2"/>
        <v>1255776594</v>
      </c>
      <c r="M17" s="44">
        <f t="shared" si="3"/>
        <v>0.2582550584021076</v>
      </c>
      <c r="N17" s="111">
        <f>SUM(N9:N16)</f>
        <v>952795131</v>
      </c>
      <c r="O17" s="112">
        <f>SUM(O9:O16)</f>
        <v>136430316</v>
      </c>
      <c r="P17" s="113">
        <f t="shared" si="4"/>
        <v>1089225447</v>
      </c>
      <c r="Q17" s="44">
        <f t="shared" si="5"/>
        <v>0.22400320468789273</v>
      </c>
      <c r="R17" s="111">
        <f>SUM(R9:R16)</f>
        <v>942005167</v>
      </c>
      <c r="S17" s="113">
        <f>SUM(S9:S16)</f>
        <v>94290826</v>
      </c>
      <c r="T17" s="113">
        <f t="shared" si="6"/>
        <v>1036295993</v>
      </c>
      <c r="U17" s="44">
        <f t="shared" si="7"/>
        <v>0.19830438547131024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4">
        <f t="shared" si="9"/>
        <v>0</v>
      </c>
      <c r="Z17" s="81">
        <f t="shared" si="10"/>
        <v>3069041246</v>
      </c>
      <c r="AA17" s="82">
        <f t="shared" si="11"/>
        <v>312256788</v>
      </c>
      <c r="AB17" s="82">
        <f t="shared" si="12"/>
        <v>3381298034</v>
      </c>
      <c r="AC17" s="44">
        <f t="shared" si="13"/>
        <v>0.6470412249560049</v>
      </c>
      <c r="AD17" s="81">
        <f>SUM(AD9:AD16)</f>
        <v>813435026</v>
      </c>
      <c r="AE17" s="82">
        <f>SUM(AE9:AE16)</f>
        <v>85672938</v>
      </c>
      <c r="AF17" s="82">
        <f t="shared" si="14"/>
        <v>899107964</v>
      </c>
      <c r="AG17" s="44">
        <f>IF(323521000=0,0,302566461/323521000)</f>
        <v>0.9352297408823539</v>
      </c>
      <c r="AH17" s="44">
        <f t="shared" si="15"/>
        <v>0.15258237552437026</v>
      </c>
      <c r="AI17" s="63">
        <f>SUM(AI9:AI16)</f>
        <v>4582414278</v>
      </c>
      <c r="AJ17" s="63">
        <f>SUM(AJ9:AJ16)</f>
        <v>4704168435</v>
      </c>
      <c r="AK17" s="63">
        <f>SUM(AK9:AK16)</f>
        <v>3025555459</v>
      </c>
      <c r="AL17" s="63"/>
    </row>
    <row r="18" spans="1:38" s="13" customFormat="1" ht="12.75">
      <c r="A18" s="29" t="s">
        <v>96</v>
      </c>
      <c r="B18" s="60" t="s">
        <v>461</v>
      </c>
      <c r="C18" s="39" t="s">
        <v>462</v>
      </c>
      <c r="D18" s="77">
        <v>364645536</v>
      </c>
      <c r="E18" s="78">
        <v>57233004</v>
      </c>
      <c r="F18" s="79">
        <f t="shared" si="0"/>
        <v>421878540</v>
      </c>
      <c r="G18" s="77">
        <v>364645536</v>
      </c>
      <c r="H18" s="78">
        <v>57233004</v>
      </c>
      <c r="I18" s="80">
        <f t="shared" si="1"/>
        <v>421878540</v>
      </c>
      <c r="J18" s="77">
        <v>93758781</v>
      </c>
      <c r="K18" s="78">
        <v>170346</v>
      </c>
      <c r="L18" s="78">
        <f t="shared" si="2"/>
        <v>93929127</v>
      </c>
      <c r="M18" s="40">
        <f t="shared" si="3"/>
        <v>0.22264495131703071</v>
      </c>
      <c r="N18" s="105">
        <v>403069469</v>
      </c>
      <c r="O18" s="106">
        <v>86560</v>
      </c>
      <c r="P18" s="107">
        <f t="shared" si="4"/>
        <v>403156029</v>
      </c>
      <c r="Q18" s="40">
        <f t="shared" si="5"/>
        <v>0.9556210870550562</v>
      </c>
      <c r="R18" s="105">
        <v>533893447</v>
      </c>
      <c r="S18" s="107">
        <v>367883</v>
      </c>
      <c r="T18" s="107">
        <f t="shared" si="6"/>
        <v>534261330</v>
      </c>
      <c r="U18" s="40">
        <f t="shared" si="7"/>
        <v>1.266386600275994</v>
      </c>
      <c r="V18" s="105">
        <v>0</v>
      </c>
      <c r="W18" s="107">
        <v>0</v>
      </c>
      <c r="X18" s="107">
        <f t="shared" si="8"/>
        <v>0</v>
      </c>
      <c r="Y18" s="40">
        <f t="shared" si="9"/>
        <v>0</v>
      </c>
      <c r="Z18" s="77">
        <f t="shared" si="10"/>
        <v>1030721697</v>
      </c>
      <c r="AA18" s="78">
        <f t="shared" si="11"/>
        <v>624789</v>
      </c>
      <c r="AB18" s="78">
        <f t="shared" si="12"/>
        <v>1031346486</v>
      </c>
      <c r="AC18" s="40">
        <f t="shared" si="13"/>
        <v>2.444652638648081</v>
      </c>
      <c r="AD18" s="77">
        <v>42648267</v>
      </c>
      <c r="AE18" s="78">
        <v>6311558</v>
      </c>
      <c r="AF18" s="78">
        <f t="shared" si="14"/>
        <v>48959825</v>
      </c>
      <c r="AG18" s="40">
        <f>IF(437855160=0,0,264831661/437855160)</f>
        <v>0.6048385064138562</v>
      </c>
      <c r="AH18" s="40">
        <f t="shared" si="15"/>
        <v>9.91223937177063</v>
      </c>
      <c r="AI18" s="12">
        <v>406612601</v>
      </c>
      <c r="AJ18" s="12">
        <v>437855160</v>
      </c>
      <c r="AK18" s="12">
        <v>264831661</v>
      </c>
      <c r="AL18" s="12"/>
    </row>
    <row r="19" spans="1:38" s="13" customFormat="1" ht="12.75">
      <c r="A19" s="29" t="s">
        <v>96</v>
      </c>
      <c r="B19" s="60" t="s">
        <v>60</v>
      </c>
      <c r="C19" s="39" t="s">
        <v>61</v>
      </c>
      <c r="D19" s="77">
        <v>2626610106</v>
      </c>
      <c r="E19" s="78">
        <v>203042372</v>
      </c>
      <c r="F19" s="79">
        <f t="shared" si="0"/>
        <v>2829652478</v>
      </c>
      <c r="G19" s="77">
        <v>2266057245</v>
      </c>
      <c r="H19" s="78">
        <v>289920423</v>
      </c>
      <c r="I19" s="80">
        <f t="shared" si="1"/>
        <v>2555977668</v>
      </c>
      <c r="J19" s="77">
        <v>613041070</v>
      </c>
      <c r="K19" s="78">
        <v>30807260</v>
      </c>
      <c r="L19" s="78">
        <f t="shared" si="2"/>
        <v>643848330</v>
      </c>
      <c r="M19" s="40">
        <f t="shared" si="3"/>
        <v>0.2275361850989816</v>
      </c>
      <c r="N19" s="105">
        <v>534123365</v>
      </c>
      <c r="O19" s="106">
        <v>20024235</v>
      </c>
      <c r="P19" s="107">
        <f t="shared" si="4"/>
        <v>554147600</v>
      </c>
      <c r="Q19" s="40">
        <f t="shared" si="5"/>
        <v>0.19583592130425564</v>
      </c>
      <c r="R19" s="105">
        <v>497420029</v>
      </c>
      <c r="S19" s="107">
        <v>35803329</v>
      </c>
      <c r="T19" s="107">
        <f t="shared" si="6"/>
        <v>533223358</v>
      </c>
      <c r="U19" s="40">
        <f t="shared" si="7"/>
        <v>0.20861815996116911</v>
      </c>
      <c r="V19" s="105">
        <v>0</v>
      </c>
      <c r="W19" s="107">
        <v>0</v>
      </c>
      <c r="X19" s="107">
        <f t="shared" si="8"/>
        <v>0</v>
      </c>
      <c r="Y19" s="40">
        <f t="shared" si="9"/>
        <v>0</v>
      </c>
      <c r="Z19" s="77">
        <f t="shared" si="10"/>
        <v>1644584464</v>
      </c>
      <c r="AA19" s="78">
        <f t="shared" si="11"/>
        <v>86634824</v>
      </c>
      <c r="AB19" s="78">
        <f t="shared" si="12"/>
        <v>1731219288</v>
      </c>
      <c r="AC19" s="40">
        <f t="shared" si="13"/>
        <v>0.6773217581962065</v>
      </c>
      <c r="AD19" s="77">
        <v>390083291</v>
      </c>
      <c r="AE19" s="78">
        <v>28739139</v>
      </c>
      <c r="AF19" s="78">
        <f t="shared" si="14"/>
        <v>418822430</v>
      </c>
      <c r="AG19" s="40">
        <f>IF(2135628425=0,0,1444361745/2135628425)</f>
        <v>0.676316969793095</v>
      </c>
      <c r="AH19" s="40">
        <f t="shared" si="15"/>
        <v>0.2731490001621928</v>
      </c>
      <c r="AI19" s="12">
        <v>2081460807</v>
      </c>
      <c r="AJ19" s="12">
        <v>2135628425</v>
      </c>
      <c r="AK19" s="12">
        <v>1444361745</v>
      </c>
      <c r="AL19" s="12"/>
    </row>
    <row r="20" spans="1:38" s="13" customFormat="1" ht="12.75">
      <c r="A20" s="29" t="s">
        <v>96</v>
      </c>
      <c r="B20" s="60" t="s">
        <v>88</v>
      </c>
      <c r="C20" s="39" t="s">
        <v>89</v>
      </c>
      <c r="D20" s="77">
        <v>1362930807</v>
      </c>
      <c r="E20" s="78">
        <v>236368760</v>
      </c>
      <c r="F20" s="79">
        <f t="shared" si="0"/>
        <v>1599299567</v>
      </c>
      <c r="G20" s="77">
        <v>1362930807</v>
      </c>
      <c r="H20" s="78">
        <v>278127363</v>
      </c>
      <c r="I20" s="80">
        <f t="shared" si="1"/>
        <v>1641058170</v>
      </c>
      <c r="J20" s="77">
        <v>364479914</v>
      </c>
      <c r="K20" s="78">
        <v>22690999</v>
      </c>
      <c r="L20" s="78">
        <f t="shared" si="2"/>
        <v>387170913</v>
      </c>
      <c r="M20" s="40">
        <f t="shared" si="3"/>
        <v>0.24208779955231488</v>
      </c>
      <c r="N20" s="105">
        <v>331966308</v>
      </c>
      <c r="O20" s="106">
        <v>47734978</v>
      </c>
      <c r="P20" s="107">
        <f t="shared" si="4"/>
        <v>379701286</v>
      </c>
      <c r="Q20" s="40">
        <f t="shared" si="5"/>
        <v>0.23741723804268372</v>
      </c>
      <c r="R20" s="105">
        <v>305580769</v>
      </c>
      <c r="S20" s="107">
        <v>30732689</v>
      </c>
      <c r="T20" s="107">
        <f t="shared" si="6"/>
        <v>336313458</v>
      </c>
      <c r="U20" s="40">
        <f t="shared" si="7"/>
        <v>0.20493695113805746</v>
      </c>
      <c r="V20" s="105">
        <v>0</v>
      </c>
      <c r="W20" s="107">
        <v>0</v>
      </c>
      <c r="X20" s="107">
        <f t="shared" si="8"/>
        <v>0</v>
      </c>
      <c r="Y20" s="40">
        <f t="shared" si="9"/>
        <v>0</v>
      </c>
      <c r="Z20" s="77">
        <f t="shared" si="10"/>
        <v>1002026991</v>
      </c>
      <c r="AA20" s="78">
        <f t="shared" si="11"/>
        <v>101158666</v>
      </c>
      <c r="AB20" s="78">
        <f t="shared" si="12"/>
        <v>1103185657</v>
      </c>
      <c r="AC20" s="40">
        <f t="shared" si="13"/>
        <v>0.6722404343534026</v>
      </c>
      <c r="AD20" s="77">
        <v>294639423</v>
      </c>
      <c r="AE20" s="78">
        <v>54392487</v>
      </c>
      <c r="AF20" s="78">
        <f t="shared" si="14"/>
        <v>349031910</v>
      </c>
      <c r="AG20" s="40">
        <f>IF(1478700655=0,0,1057025327/1478700655)</f>
        <v>0.7148338802893138</v>
      </c>
      <c r="AH20" s="40">
        <f t="shared" si="15"/>
        <v>-0.03643922413856082</v>
      </c>
      <c r="AI20" s="12">
        <v>1491102633</v>
      </c>
      <c r="AJ20" s="12">
        <v>1478700655</v>
      </c>
      <c r="AK20" s="12">
        <v>1057025327</v>
      </c>
      <c r="AL20" s="12"/>
    </row>
    <row r="21" spans="1:38" s="13" customFormat="1" ht="12.75">
      <c r="A21" s="29" t="s">
        <v>96</v>
      </c>
      <c r="B21" s="60" t="s">
        <v>463</v>
      </c>
      <c r="C21" s="39" t="s">
        <v>464</v>
      </c>
      <c r="D21" s="77">
        <v>199851454</v>
      </c>
      <c r="E21" s="78">
        <v>35924900</v>
      </c>
      <c r="F21" s="80">
        <f t="shared" si="0"/>
        <v>235776354</v>
      </c>
      <c r="G21" s="77">
        <v>200041860</v>
      </c>
      <c r="H21" s="78">
        <v>35985826</v>
      </c>
      <c r="I21" s="80">
        <f t="shared" si="1"/>
        <v>236027686</v>
      </c>
      <c r="J21" s="77">
        <v>54405375</v>
      </c>
      <c r="K21" s="78">
        <v>21854</v>
      </c>
      <c r="L21" s="78">
        <f t="shared" si="2"/>
        <v>54427229</v>
      </c>
      <c r="M21" s="40">
        <f t="shared" si="3"/>
        <v>0.23084261028143646</v>
      </c>
      <c r="N21" s="105">
        <v>47185329</v>
      </c>
      <c r="O21" s="106">
        <v>6181173</v>
      </c>
      <c r="P21" s="107">
        <f t="shared" si="4"/>
        <v>53366502</v>
      </c>
      <c r="Q21" s="40">
        <f t="shared" si="5"/>
        <v>0.22634374098430582</v>
      </c>
      <c r="R21" s="105">
        <v>44748749</v>
      </c>
      <c r="S21" s="107">
        <v>638734</v>
      </c>
      <c r="T21" s="107">
        <f t="shared" si="6"/>
        <v>45387483</v>
      </c>
      <c r="U21" s="40">
        <f t="shared" si="7"/>
        <v>0.1922972841414884</v>
      </c>
      <c r="V21" s="105">
        <v>0</v>
      </c>
      <c r="W21" s="107">
        <v>0</v>
      </c>
      <c r="X21" s="107">
        <f t="shared" si="8"/>
        <v>0</v>
      </c>
      <c r="Y21" s="40">
        <f t="shared" si="9"/>
        <v>0</v>
      </c>
      <c r="Z21" s="77">
        <f t="shared" si="10"/>
        <v>146339453</v>
      </c>
      <c r="AA21" s="78">
        <f t="shared" si="11"/>
        <v>6841761</v>
      </c>
      <c r="AB21" s="78">
        <f t="shared" si="12"/>
        <v>153181214</v>
      </c>
      <c r="AC21" s="40">
        <f t="shared" si="13"/>
        <v>0.6489968045528354</v>
      </c>
      <c r="AD21" s="77">
        <v>34924025</v>
      </c>
      <c r="AE21" s="78">
        <v>2752472</v>
      </c>
      <c r="AF21" s="78">
        <f t="shared" si="14"/>
        <v>37676497</v>
      </c>
      <c r="AG21" s="40">
        <f>IF(202110416=0,0,149742895/202110416)</f>
        <v>0.7408964761123444</v>
      </c>
      <c r="AH21" s="40">
        <f t="shared" si="15"/>
        <v>0.20466302904964873</v>
      </c>
      <c r="AI21" s="12">
        <v>209033778</v>
      </c>
      <c r="AJ21" s="12">
        <v>202110416</v>
      </c>
      <c r="AK21" s="12">
        <v>149742895</v>
      </c>
      <c r="AL21" s="12"/>
    </row>
    <row r="22" spans="1:38" s="13" customFormat="1" ht="12.75">
      <c r="A22" s="29" t="s">
        <v>96</v>
      </c>
      <c r="B22" s="60" t="s">
        <v>465</v>
      </c>
      <c r="C22" s="39" t="s">
        <v>466</v>
      </c>
      <c r="D22" s="77">
        <v>488837077</v>
      </c>
      <c r="E22" s="78">
        <v>116339135</v>
      </c>
      <c r="F22" s="79">
        <f t="shared" si="0"/>
        <v>605176212</v>
      </c>
      <c r="G22" s="77">
        <v>488837077</v>
      </c>
      <c r="H22" s="78">
        <v>116339135</v>
      </c>
      <c r="I22" s="80">
        <f t="shared" si="1"/>
        <v>605176212</v>
      </c>
      <c r="J22" s="77">
        <v>156771490</v>
      </c>
      <c r="K22" s="78">
        <v>47830282</v>
      </c>
      <c r="L22" s="78">
        <f t="shared" si="2"/>
        <v>204601772</v>
      </c>
      <c r="M22" s="40">
        <f t="shared" si="3"/>
        <v>0.3380862762662588</v>
      </c>
      <c r="N22" s="105">
        <v>135597880</v>
      </c>
      <c r="O22" s="106">
        <v>13873541</v>
      </c>
      <c r="P22" s="107">
        <f t="shared" si="4"/>
        <v>149471421</v>
      </c>
      <c r="Q22" s="40">
        <f t="shared" si="5"/>
        <v>0.24698826232118984</v>
      </c>
      <c r="R22" s="105">
        <v>145552607</v>
      </c>
      <c r="S22" s="107">
        <v>19483776</v>
      </c>
      <c r="T22" s="107">
        <f t="shared" si="6"/>
        <v>165036383</v>
      </c>
      <c r="U22" s="40">
        <f t="shared" si="7"/>
        <v>0.2727079811259997</v>
      </c>
      <c r="V22" s="105">
        <v>0</v>
      </c>
      <c r="W22" s="107">
        <v>0</v>
      </c>
      <c r="X22" s="107">
        <f t="shared" si="8"/>
        <v>0</v>
      </c>
      <c r="Y22" s="40">
        <f t="shared" si="9"/>
        <v>0</v>
      </c>
      <c r="Z22" s="77">
        <f t="shared" si="10"/>
        <v>437921977</v>
      </c>
      <c r="AA22" s="78">
        <f t="shared" si="11"/>
        <v>81187599</v>
      </c>
      <c r="AB22" s="78">
        <f t="shared" si="12"/>
        <v>519109576</v>
      </c>
      <c r="AC22" s="40">
        <f t="shared" si="13"/>
        <v>0.8577825197134483</v>
      </c>
      <c r="AD22" s="77">
        <v>89935476</v>
      </c>
      <c r="AE22" s="78">
        <v>16867536</v>
      </c>
      <c r="AF22" s="78">
        <f t="shared" si="14"/>
        <v>106803012</v>
      </c>
      <c r="AG22" s="40">
        <f>IF(501570706=0,0,455505039/501570706)</f>
        <v>0.90815718213017</v>
      </c>
      <c r="AH22" s="40">
        <f t="shared" si="15"/>
        <v>0.545240905752733</v>
      </c>
      <c r="AI22" s="12">
        <v>473759588</v>
      </c>
      <c r="AJ22" s="12">
        <v>501570706</v>
      </c>
      <c r="AK22" s="12">
        <v>455505039</v>
      </c>
      <c r="AL22" s="12"/>
    </row>
    <row r="23" spans="1:38" s="13" customFormat="1" ht="12.75">
      <c r="A23" s="29" t="s">
        <v>96</v>
      </c>
      <c r="B23" s="60" t="s">
        <v>467</v>
      </c>
      <c r="C23" s="39" t="s">
        <v>468</v>
      </c>
      <c r="D23" s="77">
        <v>403292000</v>
      </c>
      <c r="E23" s="78">
        <v>118050819</v>
      </c>
      <c r="F23" s="79">
        <f t="shared" si="0"/>
        <v>521342819</v>
      </c>
      <c r="G23" s="77">
        <v>424121000</v>
      </c>
      <c r="H23" s="78">
        <v>136184965</v>
      </c>
      <c r="I23" s="80">
        <f t="shared" si="1"/>
        <v>560305965</v>
      </c>
      <c r="J23" s="77">
        <v>161832761</v>
      </c>
      <c r="K23" s="78">
        <v>10416563</v>
      </c>
      <c r="L23" s="78">
        <f t="shared" si="2"/>
        <v>172249324</v>
      </c>
      <c r="M23" s="40">
        <f t="shared" si="3"/>
        <v>0.3303955050736011</v>
      </c>
      <c r="N23" s="105">
        <v>150789162</v>
      </c>
      <c r="O23" s="106">
        <v>36190658</v>
      </c>
      <c r="P23" s="107">
        <f t="shared" si="4"/>
        <v>186979820</v>
      </c>
      <c r="Q23" s="40">
        <f t="shared" si="5"/>
        <v>0.358650418085072</v>
      </c>
      <c r="R23" s="105">
        <v>112455810</v>
      </c>
      <c r="S23" s="107">
        <v>17779886</v>
      </c>
      <c r="T23" s="107">
        <f t="shared" si="6"/>
        <v>130235696</v>
      </c>
      <c r="U23" s="40">
        <f t="shared" si="7"/>
        <v>0.23243674730466238</v>
      </c>
      <c r="V23" s="105">
        <v>0</v>
      </c>
      <c r="W23" s="107">
        <v>0</v>
      </c>
      <c r="X23" s="107">
        <f t="shared" si="8"/>
        <v>0</v>
      </c>
      <c r="Y23" s="40">
        <f t="shared" si="9"/>
        <v>0</v>
      </c>
      <c r="Z23" s="77">
        <f t="shared" si="10"/>
        <v>425077733</v>
      </c>
      <c r="AA23" s="78">
        <f t="shared" si="11"/>
        <v>64387107</v>
      </c>
      <c r="AB23" s="78">
        <f t="shared" si="12"/>
        <v>489464840</v>
      </c>
      <c r="AC23" s="40">
        <f t="shared" si="13"/>
        <v>0.8735670697348368</v>
      </c>
      <c r="AD23" s="77">
        <v>18561832</v>
      </c>
      <c r="AE23" s="78">
        <v>21762807</v>
      </c>
      <c r="AF23" s="78">
        <f t="shared" si="14"/>
        <v>40324639</v>
      </c>
      <c r="AG23" s="40">
        <f>IF(484135982=0,0,372340755/484135982)</f>
        <v>0.7690830032129279</v>
      </c>
      <c r="AH23" s="40">
        <f t="shared" si="15"/>
        <v>2.2296803946589576</v>
      </c>
      <c r="AI23" s="12">
        <v>492403246</v>
      </c>
      <c r="AJ23" s="12">
        <v>484135982</v>
      </c>
      <c r="AK23" s="12">
        <v>372340755</v>
      </c>
      <c r="AL23" s="12"/>
    </row>
    <row r="24" spans="1:38" s="13" customFormat="1" ht="12.75">
      <c r="A24" s="29" t="s">
        <v>115</v>
      </c>
      <c r="B24" s="60" t="s">
        <v>469</v>
      </c>
      <c r="C24" s="39" t="s">
        <v>470</v>
      </c>
      <c r="D24" s="77">
        <v>351437158</v>
      </c>
      <c r="E24" s="78">
        <v>58186817</v>
      </c>
      <c r="F24" s="79">
        <f t="shared" si="0"/>
        <v>409623975</v>
      </c>
      <c r="G24" s="77">
        <v>360293408</v>
      </c>
      <c r="H24" s="78">
        <v>56488191</v>
      </c>
      <c r="I24" s="80">
        <f t="shared" si="1"/>
        <v>416781599</v>
      </c>
      <c r="J24" s="77">
        <v>144919346</v>
      </c>
      <c r="K24" s="78">
        <v>2427948</v>
      </c>
      <c r="L24" s="78">
        <f t="shared" si="2"/>
        <v>147347294</v>
      </c>
      <c r="M24" s="40">
        <f t="shared" si="3"/>
        <v>0.35971354948157025</v>
      </c>
      <c r="N24" s="105">
        <v>115573720</v>
      </c>
      <c r="O24" s="106">
        <v>3515504</v>
      </c>
      <c r="P24" s="107">
        <f t="shared" si="4"/>
        <v>119089224</v>
      </c>
      <c r="Q24" s="40">
        <f t="shared" si="5"/>
        <v>0.29072815867284135</v>
      </c>
      <c r="R24" s="105">
        <v>90705561</v>
      </c>
      <c r="S24" s="107">
        <v>9293088</v>
      </c>
      <c r="T24" s="107">
        <f t="shared" si="6"/>
        <v>99998649</v>
      </c>
      <c r="U24" s="40">
        <f t="shared" si="7"/>
        <v>0.23993057572582516</v>
      </c>
      <c r="V24" s="105">
        <v>0</v>
      </c>
      <c r="W24" s="107">
        <v>0</v>
      </c>
      <c r="X24" s="107">
        <f t="shared" si="8"/>
        <v>0</v>
      </c>
      <c r="Y24" s="40">
        <f t="shared" si="9"/>
        <v>0</v>
      </c>
      <c r="Z24" s="77">
        <f t="shared" si="10"/>
        <v>351198627</v>
      </c>
      <c r="AA24" s="78">
        <f t="shared" si="11"/>
        <v>15236540</v>
      </c>
      <c r="AB24" s="78">
        <f t="shared" si="12"/>
        <v>366435167</v>
      </c>
      <c r="AC24" s="40">
        <f t="shared" si="13"/>
        <v>0.8792018838624399</v>
      </c>
      <c r="AD24" s="77">
        <v>91971577</v>
      </c>
      <c r="AE24" s="78">
        <v>5864779</v>
      </c>
      <c r="AF24" s="78">
        <f t="shared" si="14"/>
        <v>97836356</v>
      </c>
      <c r="AG24" s="40">
        <f>IF(381626129=0,0,356500551/381626129)</f>
        <v>0.9341617984443618</v>
      </c>
      <c r="AH24" s="40">
        <f t="shared" si="15"/>
        <v>0.02210111954701177</v>
      </c>
      <c r="AI24" s="12">
        <v>377560060</v>
      </c>
      <c r="AJ24" s="12">
        <v>381626129</v>
      </c>
      <c r="AK24" s="12">
        <v>356500551</v>
      </c>
      <c r="AL24" s="12"/>
    </row>
    <row r="25" spans="1:38" s="56" customFormat="1" ht="12.75">
      <c r="A25" s="61"/>
      <c r="B25" s="62" t="s">
        <v>471</v>
      </c>
      <c r="C25" s="32"/>
      <c r="D25" s="81">
        <f>SUM(D18:D24)</f>
        <v>5797604138</v>
      </c>
      <c r="E25" s="82">
        <f>SUM(E18:E24)</f>
        <v>825145807</v>
      </c>
      <c r="F25" s="90">
        <f t="shared" si="0"/>
        <v>6622749945</v>
      </c>
      <c r="G25" s="81">
        <f>SUM(G18:G24)</f>
        <v>5466926933</v>
      </c>
      <c r="H25" s="82">
        <f>SUM(H18:H24)</f>
        <v>970278907</v>
      </c>
      <c r="I25" s="83">
        <f t="shared" si="1"/>
        <v>6437205840</v>
      </c>
      <c r="J25" s="81">
        <f>SUM(J18:J24)</f>
        <v>1589208737</v>
      </c>
      <c r="K25" s="82">
        <f>SUM(K18:K24)</f>
        <v>114365252</v>
      </c>
      <c r="L25" s="82">
        <f t="shared" si="2"/>
        <v>1703573989</v>
      </c>
      <c r="M25" s="44">
        <f t="shared" si="3"/>
        <v>0.25723060709640005</v>
      </c>
      <c r="N25" s="111">
        <f>SUM(N18:N24)</f>
        <v>1718305233</v>
      </c>
      <c r="O25" s="112">
        <f>SUM(O18:O24)</f>
        <v>127606649</v>
      </c>
      <c r="P25" s="113">
        <f t="shared" si="4"/>
        <v>1845911882</v>
      </c>
      <c r="Q25" s="44">
        <f t="shared" si="5"/>
        <v>0.2787228715155725</v>
      </c>
      <c r="R25" s="111">
        <f>SUM(R18:R24)</f>
        <v>1730356972</v>
      </c>
      <c r="S25" s="113">
        <f>SUM(S18:S24)</f>
        <v>114099385</v>
      </c>
      <c r="T25" s="113">
        <f t="shared" si="6"/>
        <v>1844456357</v>
      </c>
      <c r="U25" s="44">
        <f t="shared" si="7"/>
        <v>0.28653058529506337</v>
      </c>
      <c r="V25" s="111">
        <f>SUM(V18:V24)</f>
        <v>0</v>
      </c>
      <c r="W25" s="113">
        <f>SUM(W18:W24)</f>
        <v>0</v>
      </c>
      <c r="X25" s="113">
        <f t="shared" si="8"/>
        <v>0</v>
      </c>
      <c r="Y25" s="44">
        <f t="shared" si="9"/>
        <v>0</v>
      </c>
      <c r="Z25" s="81">
        <f t="shared" si="10"/>
        <v>5037870942</v>
      </c>
      <c r="AA25" s="82">
        <f t="shared" si="11"/>
        <v>356071286</v>
      </c>
      <c r="AB25" s="82">
        <f t="shared" si="12"/>
        <v>5393942228</v>
      </c>
      <c r="AC25" s="44">
        <f t="shared" si="13"/>
        <v>0.8379322274398483</v>
      </c>
      <c r="AD25" s="81">
        <f>SUM(AD18:AD24)</f>
        <v>962763891</v>
      </c>
      <c r="AE25" s="82">
        <f>SUM(AE18:AE24)</f>
        <v>136690778</v>
      </c>
      <c r="AF25" s="82">
        <f t="shared" si="14"/>
        <v>1099454669</v>
      </c>
      <c r="AG25" s="44">
        <f>IF(381626129=0,0,356500551/381626129)</f>
        <v>0.9341617984443618</v>
      </c>
      <c r="AH25" s="44">
        <f t="shared" si="15"/>
        <v>0.6776101907663099</v>
      </c>
      <c r="AI25" s="63">
        <f>SUM(AI18:AI24)</f>
        <v>5531932713</v>
      </c>
      <c r="AJ25" s="63">
        <f>SUM(AJ18:AJ24)</f>
        <v>5621627473</v>
      </c>
      <c r="AK25" s="63">
        <f>SUM(AK18:AK24)</f>
        <v>4100307973</v>
      </c>
      <c r="AL25" s="63"/>
    </row>
    <row r="26" spans="1:38" s="13" customFormat="1" ht="12.75">
      <c r="A26" s="29" t="s">
        <v>96</v>
      </c>
      <c r="B26" s="60" t="s">
        <v>472</v>
      </c>
      <c r="C26" s="39" t="s">
        <v>473</v>
      </c>
      <c r="D26" s="77">
        <v>454114201</v>
      </c>
      <c r="E26" s="78">
        <v>44278149</v>
      </c>
      <c r="F26" s="79">
        <f t="shared" si="0"/>
        <v>498392350</v>
      </c>
      <c r="G26" s="77">
        <v>526333674</v>
      </c>
      <c r="H26" s="78">
        <v>44505000</v>
      </c>
      <c r="I26" s="80">
        <f t="shared" si="1"/>
        <v>570838674</v>
      </c>
      <c r="J26" s="77">
        <v>185099594</v>
      </c>
      <c r="K26" s="78">
        <v>0</v>
      </c>
      <c r="L26" s="78">
        <f t="shared" si="2"/>
        <v>185099594</v>
      </c>
      <c r="M26" s="40">
        <f t="shared" si="3"/>
        <v>0.3713933289706393</v>
      </c>
      <c r="N26" s="105">
        <v>67824172</v>
      </c>
      <c r="O26" s="106">
        <v>24175807</v>
      </c>
      <c r="P26" s="107">
        <f t="shared" si="4"/>
        <v>91999979</v>
      </c>
      <c r="Q26" s="40">
        <f t="shared" si="5"/>
        <v>0.18459348142081233</v>
      </c>
      <c r="R26" s="105">
        <v>82852509</v>
      </c>
      <c r="S26" s="107">
        <v>772113</v>
      </c>
      <c r="T26" s="107">
        <f t="shared" si="6"/>
        <v>83624622</v>
      </c>
      <c r="U26" s="40">
        <f t="shared" si="7"/>
        <v>0.14649431758717876</v>
      </c>
      <c r="V26" s="105">
        <v>0</v>
      </c>
      <c r="W26" s="107">
        <v>0</v>
      </c>
      <c r="X26" s="107">
        <f t="shared" si="8"/>
        <v>0</v>
      </c>
      <c r="Y26" s="40">
        <f t="shared" si="9"/>
        <v>0</v>
      </c>
      <c r="Z26" s="77">
        <f t="shared" si="10"/>
        <v>335776275</v>
      </c>
      <c r="AA26" s="78">
        <f t="shared" si="11"/>
        <v>24947920</v>
      </c>
      <c r="AB26" s="78">
        <f t="shared" si="12"/>
        <v>360724195</v>
      </c>
      <c r="AC26" s="40">
        <f t="shared" si="13"/>
        <v>0.6319196848950708</v>
      </c>
      <c r="AD26" s="77">
        <v>73630978</v>
      </c>
      <c r="AE26" s="78">
        <v>23767562</v>
      </c>
      <c r="AF26" s="78">
        <f t="shared" si="14"/>
        <v>97398540</v>
      </c>
      <c r="AG26" s="40">
        <f>IF(481481462=0,0,381520245/481481462)</f>
        <v>0.7923882332150931</v>
      </c>
      <c r="AH26" s="40">
        <f t="shared" si="15"/>
        <v>-0.1414181157130281</v>
      </c>
      <c r="AI26" s="12">
        <v>428362131</v>
      </c>
      <c r="AJ26" s="12">
        <v>481481462</v>
      </c>
      <c r="AK26" s="12">
        <v>381520245</v>
      </c>
      <c r="AL26" s="12"/>
    </row>
    <row r="27" spans="1:38" s="13" customFormat="1" ht="12.75">
      <c r="A27" s="29" t="s">
        <v>96</v>
      </c>
      <c r="B27" s="60" t="s">
        <v>72</v>
      </c>
      <c r="C27" s="39" t="s">
        <v>73</v>
      </c>
      <c r="D27" s="77">
        <v>2157452148</v>
      </c>
      <c r="E27" s="78">
        <v>582415965</v>
      </c>
      <c r="F27" s="79">
        <f t="shared" si="0"/>
        <v>2739868113</v>
      </c>
      <c r="G27" s="77">
        <v>2147186837</v>
      </c>
      <c r="H27" s="78">
        <v>807538205</v>
      </c>
      <c r="I27" s="80">
        <f t="shared" si="1"/>
        <v>2954725042</v>
      </c>
      <c r="J27" s="77">
        <v>585679805</v>
      </c>
      <c r="K27" s="78">
        <v>112463734</v>
      </c>
      <c r="L27" s="78">
        <f t="shared" si="2"/>
        <v>698143539</v>
      </c>
      <c r="M27" s="40">
        <f t="shared" si="3"/>
        <v>0.25480917701384265</v>
      </c>
      <c r="N27" s="105">
        <v>527394970</v>
      </c>
      <c r="O27" s="106">
        <v>146103175</v>
      </c>
      <c r="P27" s="107">
        <f t="shared" si="4"/>
        <v>673498145</v>
      </c>
      <c r="Q27" s="40">
        <f t="shared" si="5"/>
        <v>0.2458140747010475</v>
      </c>
      <c r="R27" s="105">
        <v>517950335</v>
      </c>
      <c r="S27" s="107">
        <v>91134015</v>
      </c>
      <c r="T27" s="107">
        <f t="shared" si="6"/>
        <v>609084350</v>
      </c>
      <c r="U27" s="40">
        <f t="shared" si="7"/>
        <v>0.20613909630918545</v>
      </c>
      <c r="V27" s="105">
        <v>0</v>
      </c>
      <c r="W27" s="107">
        <v>0</v>
      </c>
      <c r="X27" s="107">
        <f t="shared" si="8"/>
        <v>0</v>
      </c>
      <c r="Y27" s="40">
        <f t="shared" si="9"/>
        <v>0</v>
      </c>
      <c r="Z27" s="77">
        <f t="shared" si="10"/>
        <v>1631025110</v>
      </c>
      <c r="AA27" s="78">
        <f t="shared" si="11"/>
        <v>349700924</v>
      </c>
      <c r="AB27" s="78">
        <f t="shared" si="12"/>
        <v>1980726034</v>
      </c>
      <c r="AC27" s="40">
        <f t="shared" si="13"/>
        <v>0.6703588340183703</v>
      </c>
      <c r="AD27" s="77">
        <v>393450272</v>
      </c>
      <c r="AE27" s="78">
        <v>126291238</v>
      </c>
      <c r="AF27" s="78">
        <f t="shared" si="14"/>
        <v>519741510</v>
      </c>
      <c r="AG27" s="40">
        <f>IF(2444702809=0,0,1652452130/2444702809)</f>
        <v>0.6759317017662084</v>
      </c>
      <c r="AH27" s="40">
        <f t="shared" si="15"/>
        <v>0.1718986039810444</v>
      </c>
      <c r="AI27" s="12">
        <v>2250668601</v>
      </c>
      <c r="AJ27" s="12">
        <v>2444702809</v>
      </c>
      <c r="AK27" s="12">
        <v>1652452130</v>
      </c>
      <c r="AL27" s="12"/>
    </row>
    <row r="28" spans="1:38" s="13" customFormat="1" ht="12.75">
      <c r="A28" s="29" t="s">
        <v>96</v>
      </c>
      <c r="B28" s="60" t="s">
        <v>474</v>
      </c>
      <c r="C28" s="39" t="s">
        <v>475</v>
      </c>
      <c r="D28" s="77">
        <v>244714616</v>
      </c>
      <c r="E28" s="78">
        <v>118380578</v>
      </c>
      <c r="F28" s="79">
        <f t="shared" si="0"/>
        <v>363095194</v>
      </c>
      <c r="G28" s="77">
        <v>244714528</v>
      </c>
      <c r="H28" s="78">
        <v>116266578</v>
      </c>
      <c r="I28" s="80">
        <f t="shared" si="1"/>
        <v>360981106</v>
      </c>
      <c r="J28" s="77">
        <v>70504009</v>
      </c>
      <c r="K28" s="78">
        <v>20784525</v>
      </c>
      <c r="L28" s="78">
        <f t="shared" si="2"/>
        <v>91288534</v>
      </c>
      <c r="M28" s="40">
        <f t="shared" si="3"/>
        <v>0.2514176323688823</v>
      </c>
      <c r="N28" s="105">
        <v>60833577</v>
      </c>
      <c r="O28" s="106">
        <v>39253379</v>
      </c>
      <c r="P28" s="107">
        <f t="shared" si="4"/>
        <v>100086956</v>
      </c>
      <c r="Q28" s="40">
        <f t="shared" si="5"/>
        <v>0.27564935491820364</v>
      </c>
      <c r="R28" s="105">
        <v>71645181</v>
      </c>
      <c r="S28" s="107">
        <v>16082447</v>
      </c>
      <c r="T28" s="107">
        <f t="shared" si="6"/>
        <v>87727628</v>
      </c>
      <c r="U28" s="40">
        <f t="shared" si="7"/>
        <v>0.24302553940316202</v>
      </c>
      <c r="V28" s="105">
        <v>0</v>
      </c>
      <c r="W28" s="107">
        <v>0</v>
      </c>
      <c r="X28" s="107">
        <f t="shared" si="8"/>
        <v>0</v>
      </c>
      <c r="Y28" s="40">
        <f t="shared" si="9"/>
        <v>0</v>
      </c>
      <c r="Z28" s="77">
        <f t="shared" si="10"/>
        <v>202982767</v>
      </c>
      <c r="AA28" s="78">
        <f t="shared" si="11"/>
        <v>76120351</v>
      </c>
      <c r="AB28" s="78">
        <f t="shared" si="12"/>
        <v>279103118</v>
      </c>
      <c r="AC28" s="40">
        <f t="shared" si="13"/>
        <v>0.773179297644459</v>
      </c>
      <c r="AD28" s="77">
        <v>33634842</v>
      </c>
      <c r="AE28" s="78">
        <v>11838492</v>
      </c>
      <c r="AF28" s="78">
        <f t="shared" si="14"/>
        <v>45473334</v>
      </c>
      <c r="AG28" s="40">
        <f>IF(290229382=0,0,175803217/290229382)</f>
        <v>0.6057388669214753</v>
      </c>
      <c r="AH28" s="40">
        <f t="shared" si="15"/>
        <v>0.9292103807475387</v>
      </c>
      <c r="AI28" s="12">
        <v>279629276</v>
      </c>
      <c r="AJ28" s="12">
        <v>290229382</v>
      </c>
      <c r="AK28" s="12">
        <v>175803217</v>
      </c>
      <c r="AL28" s="12"/>
    </row>
    <row r="29" spans="1:38" s="13" customFormat="1" ht="12.75">
      <c r="A29" s="29" t="s">
        <v>96</v>
      </c>
      <c r="B29" s="60" t="s">
        <v>476</v>
      </c>
      <c r="C29" s="39" t="s">
        <v>477</v>
      </c>
      <c r="D29" s="77">
        <v>673686804</v>
      </c>
      <c r="E29" s="78">
        <v>413179261</v>
      </c>
      <c r="F29" s="79">
        <f t="shared" si="0"/>
        <v>1086866065</v>
      </c>
      <c r="G29" s="77">
        <v>673686804</v>
      </c>
      <c r="H29" s="78">
        <v>413179261</v>
      </c>
      <c r="I29" s="80">
        <f t="shared" si="1"/>
        <v>1086866065</v>
      </c>
      <c r="J29" s="77">
        <v>256738592</v>
      </c>
      <c r="K29" s="78">
        <v>30445035</v>
      </c>
      <c r="L29" s="78">
        <f t="shared" si="2"/>
        <v>287183627</v>
      </c>
      <c r="M29" s="40">
        <f t="shared" si="3"/>
        <v>0.26423092619052374</v>
      </c>
      <c r="N29" s="105">
        <v>201244620</v>
      </c>
      <c r="O29" s="106">
        <v>83339679</v>
      </c>
      <c r="P29" s="107">
        <f t="shared" si="4"/>
        <v>284584299</v>
      </c>
      <c r="Q29" s="40">
        <f t="shared" si="5"/>
        <v>0.26183934540269227</v>
      </c>
      <c r="R29" s="105">
        <v>126271401</v>
      </c>
      <c r="S29" s="107">
        <v>53330087</v>
      </c>
      <c r="T29" s="107">
        <f t="shared" si="6"/>
        <v>179601488</v>
      </c>
      <c r="U29" s="40">
        <f t="shared" si="7"/>
        <v>0.16524712085844726</v>
      </c>
      <c r="V29" s="105">
        <v>0</v>
      </c>
      <c r="W29" s="107">
        <v>0</v>
      </c>
      <c r="X29" s="107">
        <f t="shared" si="8"/>
        <v>0</v>
      </c>
      <c r="Y29" s="40">
        <f t="shared" si="9"/>
        <v>0</v>
      </c>
      <c r="Z29" s="77">
        <f t="shared" si="10"/>
        <v>584254613</v>
      </c>
      <c r="AA29" s="78">
        <f t="shared" si="11"/>
        <v>167114801</v>
      </c>
      <c r="AB29" s="78">
        <f t="shared" si="12"/>
        <v>751369414</v>
      </c>
      <c r="AC29" s="40">
        <f t="shared" si="13"/>
        <v>0.6913173924516633</v>
      </c>
      <c r="AD29" s="77">
        <v>77859312</v>
      </c>
      <c r="AE29" s="78">
        <v>40189388</v>
      </c>
      <c r="AF29" s="78">
        <f t="shared" si="14"/>
        <v>118048700</v>
      </c>
      <c r="AG29" s="40">
        <f>IF(824022213=0,0,593263758/824022213)</f>
        <v>0.7199608804720413</v>
      </c>
      <c r="AH29" s="40">
        <f t="shared" si="15"/>
        <v>0.5214186009672279</v>
      </c>
      <c r="AI29" s="12">
        <v>808577822</v>
      </c>
      <c r="AJ29" s="12">
        <v>824022213</v>
      </c>
      <c r="AK29" s="12">
        <v>593263758</v>
      </c>
      <c r="AL29" s="12"/>
    </row>
    <row r="30" spans="1:38" s="13" customFormat="1" ht="12.75">
      <c r="A30" s="29" t="s">
        <v>96</v>
      </c>
      <c r="B30" s="60" t="s">
        <v>478</v>
      </c>
      <c r="C30" s="39" t="s">
        <v>479</v>
      </c>
      <c r="D30" s="77">
        <v>925818000</v>
      </c>
      <c r="E30" s="78">
        <v>460915000</v>
      </c>
      <c r="F30" s="79">
        <f t="shared" si="0"/>
        <v>1386733000</v>
      </c>
      <c r="G30" s="77">
        <v>950982035</v>
      </c>
      <c r="H30" s="78">
        <v>482649838</v>
      </c>
      <c r="I30" s="80">
        <f t="shared" si="1"/>
        <v>1433631873</v>
      </c>
      <c r="J30" s="77">
        <v>572775906</v>
      </c>
      <c r="K30" s="78">
        <v>26138915</v>
      </c>
      <c r="L30" s="78">
        <f t="shared" si="2"/>
        <v>598914821</v>
      </c>
      <c r="M30" s="40">
        <f t="shared" si="3"/>
        <v>0.4318890666047466</v>
      </c>
      <c r="N30" s="105">
        <v>221084824</v>
      </c>
      <c r="O30" s="106">
        <v>86533441</v>
      </c>
      <c r="P30" s="107">
        <f t="shared" si="4"/>
        <v>307618265</v>
      </c>
      <c r="Q30" s="40">
        <f t="shared" si="5"/>
        <v>0.22182948339730865</v>
      </c>
      <c r="R30" s="105">
        <v>183634463</v>
      </c>
      <c r="S30" s="107">
        <v>203580565</v>
      </c>
      <c r="T30" s="107">
        <f t="shared" si="6"/>
        <v>387215028</v>
      </c>
      <c r="U30" s="40">
        <f t="shared" si="7"/>
        <v>0.27009376346364194</v>
      </c>
      <c r="V30" s="105">
        <v>0</v>
      </c>
      <c r="W30" s="107">
        <v>0</v>
      </c>
      <c r="X30" s="107">
        <f t="shared" si="8"/>
        <v>0</v>
      </c>
      <c r="Y30" s="40">
        <f t="shared" si="9"/>
        <v>0</v>
      </c>
      <c r="Z30" s="77">
        <f t="shared" si="10"/>
        <v>977495193</v>
      </c>
      <c r="AA30" s="78">
        <f t="shared" si="11"/>
        <v>316252921</v>
      </c>
      <c r="AB30" s="78">
        <f t="shared" si="12"/>
        <v>1293748114</v>
      </c>
      <c r="AC30" s="40">
        <f t="shared" si="13"/>
        <v>0.9024270026117088</v>
      </c>
      <c r="AD30" s="77">
        <v>43277257</v>
      </c>
      <c r="AE30" s="78">
        <v>46557136</v>
      </c>
      <c r="AF30" s="78">
        <f t="shared" si="14"/>
        <v>89834393</v>
      </c>
      <c r="AG30" s="40">
        <f>IF(1355124437=0,0,858744152/1355124437)</f>
        <v>0.6337013255410728</v>
      </c>
      <c r="AH30" s="40">
        <f t="shared" si="15"/>
        <v>3.310320525013176</v>
      </c>
      <c r="AI30" s="12">
        <v>1200021000</v>
      </c>
      <c r="AJ30" s="12">
        <v>1355124437</v>
      </c>
      <c r="AK30" s="12">
        <v>858744152</v>
      </c>
      <c r="AL30" s="12"/>
    </row>
    <row r="31" spans="1:38" s="13" customFormat="1" ht="12.75">
      <c r="A31" s="29" t="s">
        <v>115</v>
      </c>
      <c r="B31" s="60" t="s">
        <v>480</v>
      </c>
      <c r="C31" s="39" t="s">
        <v>481</v>
      </c>
      <c r="D31" s="77">
        <v>228185180</v>
      </c>
      <c r="E31" s="78">
        <v>56197419</v>
      </c>
      <c r="F31" s="80">
        <f t="shared" si="0"/>
        <v>284382599</v>
      </c>
      <c r="G31" s="77">
        <v>228535180</v>
      </c>
      <c r="H31" s="78">
        <v>25747686</v>
      </c>
      <c r="I31" s="80">
        <f t="shared" si="1"/>
        <v>254282866</v>
      </c>
      <c r="J31" s="77">
        <v>95553682</v>
      </c>
      <c r="K31" s="78">
        <v>1975283</v>
      </c>
      <c r="L31" s="78">
        <f t="shared" si="2"/>
        <v>97528965</v>
      </c>
      <c r="M31" s="40">
        <f t="shared" si="3"/>
        <v>0.34294983357965586</v>
      </c>
      <c r="N31" s="105">
        <v>73998598</v>
      </c>
      <c r="O31" s="106">
        <v>3640085</v>
      </c>
      <c r="P31" s="107">
        <f t="shared" si="4"/>
        <v>77638683</v>
      </c>
      <c r="Q31" s="40">
        <f t="shared" si="5"/>
        <v>0.2730078537611227</v>
      </c>
      <c r="R31" s="105">
        <v>56015079</v>
      </c>
      <c r="S31" s="107">
        <v>7366019</v>
      </c>
      <c r="T31" s="107">
        <f t="shared" si="6"/>
        <v>63381098</v>
      </c>
      <c r="U31" s="40">
        <f t="shared" si="7"/>
        <v>0.24925430091699532</v>
      </c>
      <c r="V31" s="105">
        <v>0</v>
      </c>
      <c r="W31" s="107">
        <v>0</v>
      </c>
      <c r="X31" s="107">
        <f t="shared" si="8"/>
        <v>0</v>
      </c>
      <c r="Y31" s="40">
        <f t="shared" si="9"/>
        <v>0</v>
      </c>
      <c r="Z31" s="77">
        <f t="shared" si="10"/>
        <v>225567359</v>
      </c>
      <c r="AA31" s="78">
        <f t="shared" si="11"/>
        <v>12981387</v>
      </c>
      <c r="AB31" s="78">
        <f t="shared" si="12"/>
        <v>238548746</v>
      </c>
      <c r="AC31" s="40">
        <f t="shared" si="13"/>
        <v>0.9381235541052931</v>
      </c>
      <c r="AD31" s="77">
        <v>55574180</v>
      </c>
      <c r="AE31" s="78">
        <v>1981494</v>
      </c>
      <c r="AF31" s="78">
        <f t="shared" si="14"/>
        <v>57555674</v>
      </c>
      <c r="AG31" s="40">
        <f>IF(230747881=0,0,217540732/230747881)</f>
        <v>0.9427637257479301</v>
      </c>
      <c r="AH31" s="40">
        <f t="shared" si="15"/>
        <v>0.10121372221268743</v>
      </c>
      <c r="AI31" s="12">
        <v>281989503</v>
      </c>
      <c r="AJ31" s="12">
        <v>230747881</v>
      </c>
      <c r="AK31" s="12">
        <v>217540732</v>
      </c>
      <c r="AL31" s="12"/>
    </row>
    <row r="32" spans="1:38" s="56" customFormat="1" ht="12.75">
      <c r="A32" s="61"/>
      <c r="B32" s="62" t="s">
        <v>482</v>
      </c>
      <c r="C32" s="32"/>
      <c r="D32" s="81">
        <f>SUM(D26:D31)</f>
        <v>4683970949</v>
      </c>
      <c r="E32" s="82">
        <f>SUM(E26:E31)</f>
        <v>1675366372</v>
      </c>
      <c r="F32" s="83">
        <f t="shared" si="0"/>
        <v>6359337321</v>
      </c>
      <c r="G32" s="81">
        <f>SUM(G26:G31)</f>
        <v>4771439058</v>
      </c>
      <c r="H32" s="82">
        <f>SUM(H26:H31)</f>
        <v>1889886568</v>
      </c>
      <c r="I32" s="90">
        <f t="shared" si="1"/>
        <v>6661325626</v>
      </c>
      <c r="J32" s="81">
        <f>SUM(J26:J31)</f>
        <v>1766351588</v>
      </c>
      <c r="K32" s="92">
        <f>SUM(K26:K31)</f>
        <v>191807492</v>
      </c>
      <c r="L32" s="82">
        <f t="shared" si="2"/>
        <v>1958159080</v>
      </c>
      <c r="M32" s="44">
        <f t="shared" si="3"/>
        <v>0.30791873133285547</v>
      </c>
      <c r="N32" s="111">
        <f>SUM(N26:N31)</f>
        <v>1152380761</v>
      </c>
      <c r="O32" s="112">
        <f>SUM(O26:O31)</f>
        <v>383045566</v>
      </c>
      <c r="P32" s="113">
        <f t="shared" si="4"/>
        <v>1535426327</v>
      </c>
      <c r="Q32" s="44">
        <f t="shared" si="5"/>
        <v>0.24144439105780216</v>
      </c>
      <c r="R32" s="111">
        <f>SUM(R26:R31)</f>
        <v>1038368968</v>
      </c>
      <c r="S32" s="113">
        <f>SUM(S26:S31)</f>
        <v>372265246</v>
      </c>
      <c r="T32" s="113">
        <f t="shared" si="6"/>
        <v>1410634214</v>
      </c>
      <c r="U32" s="44">
        <f t="shared" si="7"/>
        <v>0.21176478875227409</v>
      </c>
      <c r="V32" s="111">
        <f>SUM(V26:V31)</f>
        <v>0</v>
      </c>
      <c r="W32" s="113">
        <f>SUM(W26:W31)</f>
        <v>0</v>
      </c>
      <c r="X32" s="113">
        <f t="shared" si="8"/>
        <v>0</v>
      </c>
      <c r="Y32" s="44">
        <f t="shared" si="9"/>
        <v>0</v>
      </c>
      <c r="Z32" s="81">
        <f t="shared" si="10"/>
        <v>3957101317</v>
      </c>
      <c r="AA32" s="82">
        <f t="shared" si="11"/>
        <v>947118304</v>
      </c>
      <c r="AB32" s="82">
        <f t="shared" si="12"/>
        <v>4904219621</v>
      </c>
      <c r="AC32" s="44">
        <f t="shared" si="13"/>
        <v>0.7362227725151594</v>
      </c>
      <c r="AD32" s="81">
        <f>SUM(AD26:AD31)</f>
        <v>677426841</v>
      </c>
      <c r="AE32" s="82">
        <f>SUM(AE26:AE31)</f>
        <v>250625310</v>
      </c>
      <c r="AF32" s="82">
        <f t="shared" si="14"/>
        <v>928052151</v>
      </c>
      <c r="AG32" s="44">
        <f>IF(230747881=0,0,217540732/230747881)</f>
        <v>0.9427637257479301</v>
      </c>
      <c r="AH32" s="44">
        <f t="shared" si="15"/>
        <v>0.5199945525475109</v>
      </c>
      <c r="AI32" s="63">
        <f>SUM(AI26:AI31)</f>
        <v>5249248333</v>
      </c>
      <c r="AJ32" s="63">
        <f>SUM(AJ26:AJ31)</f>
        <v>5626308184</v>
      </c>
      <c r="AK32" s="63">
        <f>SUM(AK26:AK31)</f>
        <v>3879324234</v>
      </c>
      <c r="AL32" s="63"/>
    </row>
    <row r="33" spans="1:38" s="56" customFormat="1" ht="12.75">
      <c r="A33" s="61"/>
      <c r="B33" s="62" t="s">
        <v>483</v>
      </c>
      <c r="C33" s="32"/>
      <c r="D33" s="81">
        <f>SUM(D9:D16,D18:D24,D26:D31)</f>
        <v>14790000355</v>
      </c>
      <c r="E33" s="82">
        <f>SUM(E9:E16,E18:E24,E26:E31)</f>
        <v>3054630947</v>
      </c>
      <c r="F33" s="90">
        <f t="shared" si="0"/>
        <v>17844631302</v>
      </c>
      <c r="G33" s="81">
        <f>SUM(G9:G16,G18:G24,G26:G31)</f>
        <v>14764913114</v>
      </c>
      <c r="H33" s="82">
        <f>SUM(H9:H16,H18:H24,H26:H31)</f>
        <v>3559402898</v>
      </c>
      <c r="I33" s="83">
        <f t="shared" si="1"/>
        <v>18324316012</v>
      </c>
      <c r="J33" s="81">
        <f>SUM(J9:J16,J18:J24,J26:J31)</f>
        <v>4529801273</v>
      </c>
      <c r="K33" s="82">
        <f>SUM(K9:K16,K18:K24,K26:K31)</f>
        <v>387708390</v>
      </c>
      <c r="L33" s="82">
        <f t="shared" si="2"/>
        <v>4917509663</v>
      </c>
      <c r="M33" s="44">
        <f t="shared" si="3"/>
        <v>0.2755736209830714</v>
      </c>
      <c r="N33" s="111">
        <f>SUM(N9:N16,N18:N24,N26:N31)</f>
        <v>3823481125</v>
      </c>
      <c r="O33" s="112">
        <f>SUM(O9:O16,O18:O24,O26:O31)</f>
        <v>647082531</v>
      </c>
      <c r="P33" s="113">
        <f t="shared" si="4"/>
        <v>4470563656</v>
      </c>
      <c r="Q33" s="44">
        <f t="shared" si="5"/>
        <v>0.2505270958161487</v>
      </c>
      <c r="R33" s="111">
        <f>SUM(R9:R16,R18:R24,R26:R31)</f>
        <v>3710731107</v>
      </c>
      <c r="S33" s="113">
        <f>SUM(S9:S16,S18:S24,S26:S31)</f>
        <v>580655457</v>
      </c>
      <c r="T33" s="113">
        <f t="shared" si="6"/>
        <v>4291386564</v>
      </c>
      <c r="U33" s="44">
        <f t="shared" si="7"/>
        <v>0.2341908184288958</v>
      </c>
      <c r="V33" s="111">
        <f>SUM(V9:V16,V18:V24,V26:V31)</f>
        <v>0</v>
      </c>
      <c r="W33" s="113">
        <f>SUM(W9:W16,W18:W24,W26:W31)</f>
        <v>0</v>
      </c>
      <c r="X33" s="113">
        <f t="shared" si="8"/>
        <v>0</v>
      </c>
      <c r="Y33" s="44">
        <f t="shared" si="9"/>
        <v>0</v>
      </c>
      <c r="Z33" s="81">
        <f t="shared" si="10"/>
        <v>12064013505</v>
      </c>
      <c r="AA33" s="82">
        <f t="shared" si="11"/>
        <v>1615446378</v>
      </c>
      <c r="AB33" s="82">
        <f t="shared" si="12"/>
        <v>13679459883</v>
      </c>
      <c r="AC33" s="44">
        <f t="shared" si="13"/>
        <v>0.7465195357928648</v>
      </c>
      <c r="AD33" s="81">
        <f>SUM(AD9:AD16,AD18:AD24,AD26:AD31)</f>
        <v>2453625758</v>
      </c>
      <c r="AE33" s="82">
        <f>SUM(AE9:AE16,AE18:AE24,AE26:AE31)</f>
        <v>472989026</v>
      </c>
      <c r="AF33" s="82">
        <f t="shared" si="14"/>
        <v>2926614784</v>
      </c>
      <c r="AG33" s="44">
        <f>IF(230747881=0,0,217540732/230747881)</f>
        <v>0.9427637257479301</v>
      </c>
      <c r="AH33" s="44">
        <f t="shared" si="15"/>
        <v>0.4663311985784051</v>
      </c>
      <c r="AI33" s="63">
        <f>SUM(AI9:AI16,AI18:AI24,AI26:AI31)</f>
        <v>15363595324</v>
      </c>
      <c r="AJ33" s="63">
        <f>SUM(AJ9:AJ16,AJ18:AJ24,AJ26:AJ31)</f>
        <v>15952104092</v>
      </c>
      <c r="AK33" s="63">
        <f>SUM(AK9:AK16,AK18:AK24,AK26:AK31)</f>
        <v>11005187666</v>
      </c>
      <c r="AL33" s="63"/>
    </row>
    <row r="34" spans="1:38" s="13" customFormat="1" ht="12.75">
      <c r="A34" s="64"/>
      <c r="B34" s="65"/>
      <c r="C34" s="66"/>
      <c r="D34" s="93"/>
      <c r="E34" s="93"/>
      <c r="F34" s="94"/>
      <c r="G34" s="95"/>
      <c r="H34" s="93"/>
      <c r="I34" s="96"/>
      <c r="J34" s="95"/>
      <c r="K34" s="97"/>
      <c r="L34" s="93"/>
      <c r="M34" s="70"/>
      <c r="N34" s="95"/>
      <c r="O34" s="97"/>
      <c r="P34" s="93"/>
      <c r="Q34" s="70"/>
      <c r="R34" s="95"/>
      <c r="S34" s="97"/>
      <c r="T34" s="93"/>
      <c r="U34" s="70"/>
      <c r="V34" s="95"/>
      <c r="W34" s="97"/>
      <c r="X34" s="93"/>
      <c r="Y34" s="70"/>
      <c r="Z34" s="95"/>
      <c r="AA34" s="97"/>
      <c r="AB34" s="93"/>
      <c r="AC34" s="70"/>
      <c r="AD34" s="95"/>
      <c r="AE34" s="93"/>
      <c r="AF34" s="93"/>
      <c r="AG34" s="70"/>
      <c r="AH34" s="70"/>
      <c r="AI34" s="12"/>
      <c r="AJ34" s="12"/>
      <c r="AK34" s="12"/>
      <c r="AL34" s="12"/>
    </row>
    <row r="35" spans="1:38" s="13" customFormat="1" ht="12.75">
      <c r="A35" s="12"/>
      <c r="B35" s="57"/>
      <c r="C35" s="12"/>
      <c r="D35" s="88"/>
      <c r="E35" s="88"/>
      <c r="F35" s="88"/>
      <c r="G35" s="88"/>
      <c r="H35" s="88"/>
      <c r="I35" s="88"/>
      <c r="J35" s="88"/>
      <c r="K35" s="88"/>
      <c r="L35" s="88"/>
      <c r="M35" s="12"/>
      <c r="N35" s="88"/>
      <c r="O35" s="88"/>
      <c r="P35" s="88"/>
      <c r="Q35" s="12"/>
      <c r="R35" s="88"/>
      <c r="S35" s="88"/>
      <c r="T35" s="88"/>
      <c r="U35" s="12"/>
      <c r="V35" s="88"/>
      <c r="W35" s="88"/>
      <c r="X35" s="88"/>
      <c r="Y35" s="12"/>
      <c r="Z35" s="88"/>
      <c r="AA35" s="88"/>
      <c r="AB35" s="88"/>
      <c r="AC35" s="12"/>
      <c r="AD35" s="88"/>
      <c r="AE35" s="88"/>
      <c r="AF35" s="88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2016-05-11T14:51:28Z</cp:lastPrinted>
  <dcterms:created xsi:type="dcterms:W3CDTF">2016-05-09T07:56:04Z</dcterms:created>
  <dcterms:modified xsi:type="dcterms:W3CDTF">2016-05-11T14:51:46Z</dcterms:modified>
  <cp:category/>
  <cp:version/>
  <cp:contentType/>
  <cp:contentStatus/>
</cp:coreProperties>
</file>