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per Province" sheetId="1" r:id="rId1"/>
    <sheet name="Summary per Metro" sheetId="2" r:id="rId2"/>
    <sheet name="Summary per Top 19" sheetId="3" r:id="rId3"/>
    <sheet name="EC" sheetId="4" r:id="rId4"/>
    <sheet name="FS" sheetId="5" r:id="rId5"/>
    <sheet name="GT" sheetId="6" r:id="rId6"/>
    <sheet name="KZ" sheetId="7" r:id="rId7"/>
    <sheet name="LP" sheetId="8" r:id="rId8"/>
    <sheet name="MP" sheetId="9" r:id="rId9"/>
    <sheet name="NC" sheetId="10" r:id="rId10"/>
    <sheet name="NW" sheetId="11" r:id="rId11"/>
    <sheet name="WC" sheetId="12" r:id="rId12"/>
  </sheets>
  <definedNames>
    <definedName name="_xlnm.Print_Area" localSheetId="3">'EC'!$A$1:$AH$83</definedName>
    <definedName name="_xlnm.Print_Area" localSheetId="4">'FS'!$A$1:$AH$83</definedName>
    <definedName name="_xlnm.Print_Area" localSheetId="5">'GT'!$A$1:$AH$83</definedName>
    <definedName name="_xlnm.Print_Area" localSheetId="6">'KZ'!$A$1:$AH$83</definedName>
    <definedName name="_xlnm.Print_Area" localSheetId="7">'LP'!$A$1:$AH$83</definedName>
    <definedName name="_xlnm.Print_Area" localSheetId="8">'MP'!$A$1:$AH$83</definedName>
    <definedName name="_xlnm.Print_Area" localSheetId="9">'NC'!$A$1:$AH$84</definedName>
    <definedName name="_xlnm.Print_Area" localSheetId="10">'NW'!$A$1:$AH$83</definedName>
    <definedName name="_xlnm.Print_Area" localSheetId="1">'Summary per Metro'!$A$1:$AH$84</definedName>
    <definedName name="_xlnm.Print_Area" localSheetId="0">'Summary per Province'!$A$1:$AH$83</definedName>
    <definedName name="_xlnm.Print_Area" localSheetId="2">'Summary per Top 19'!$A$1:$AH$83</definedName>
    <definedName name="_xlnm.Print_Area" localSheetId="11">'WC'!$A$1:$AH$83</definedName>
  </definedNames>
  <calcPr fullCalcOnLoad="1"/>
</workbook>
</file>

<file path=xl/sharedStrings.xml><?xml version="1.0" encoding="utf-8"?>
<sst xmlns="http://schemas.openxmlformats.org/spreadsheetml/2006/main" count="1483" uniqueCount="656">
  <si>
    <t>Main appropriation</t>
  </si>
  <si>
    <t>Adjusted Budget</t>
  </si>
  <si>
    <t>First Quarter 2015/16</t>
  </si>
  <si>
    <t>Second Quarter 2015/16</t>
  </si>
  <si>
    <t>Third Quarter 2015/16</t>
  </si>
  <si>
    <t>Fourth Quarter 2015/16</t>
  </si>
  <si>
    <t>Year to date: 31 March 2016</t>
  </si>
  <si>
    <t>Third Quarter 2014/15</t>
  </si>
  <si>
    <t>R thousands</t>
  </si>
  <si>
    <t>Code</t>
  </si>
  <si>
    <t>Operating Expenditure</t>
  </si>
  <si>
    <t>Capital Expenditure</t>
  </si>
  <si>
    <t>Total</t>
  </si>
  <si>
    <t>1st Q as % of Main app</t>
  </si>
  <si>
    <t>2nd Q as % of Main app</t>
  </si>
  <si>
    <t>3rd Q as % of adj budget</t>
  </si>
  <si>
    <t>4th Q as % of adj budget</t>
  </si>
  <si>
    <t>Total Expenditure as % of adj budget</t>
  </si>
  <si>
    <t>Q3 of 2014/15 to Q3 of 2015/16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</si>
  <si>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</si>
  <si>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</si>
  <si>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</si>
  <si>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</si>
  <si>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</si>
  <si>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</si>
  <si>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</si>
  <si>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</si>
  <si>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</si>
  <si>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</si>
  <si>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</si>
  <si>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</si>
  <si>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</si>
  <si>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</si>
  <si>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</si>
  <si>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</si>
  <si>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</si>
  <si>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</si>
  <si>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</si>
  <si>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</si>
  <si>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Buffalo City</t>
  </si>
  <si>
    <t>BUF</t>
  </si>
  <si>
    <t>Cape Town</t>
  </si>
  <si>
    <t>CPT</t>
  </si>
  <si>
    <t>Ekurhuleni Metro</t>
  </si>
  <si>
    <t>EKU</t>
  </si>
  <si>
    <t>eThekwini</t>
  </si>
  <si>
    <t>ETH</t>
  </si>
  <si>
    <t>City Of Johannesburg</t>
  </si>
  <si>
    <t>JHB</t>
  </si>
  <si>
    <t>Mangaung</t>
  </si>
  <si>
    <t>MAN</t>
  </si>
  <si>
    <t>Nelson Mandela Bay</t>
  </si>
  <si>
    <t>NMA</t>
  </si>
  <si>
    <t>City Of Tshwane</t>
  </si>
  <si>
    <t>TSH</t>
  </si>
  <si>
    <t>City Of Matlosana</t>
  </si>
  <si>
    <t>NW403</t>
  </si>
  <si>
    <t>Drakenstein</t>
  </si>
  <si>
    <t>WC023</t>
  </si>
  <si>
    <t>Emalahleni (Mp)</t>
  </si>
  <si>
    <t>MP312</t>
  </si>
  <si>
    <t>Emfuleni</t>
  </si>
  <si>
    <t>GT421</t>
  </si>
  <si>
    <t>George</t>
  </si>
  <si>
    <t>WC044</t>
  </si>
  <si>
    <t>Govan Mbeki</t>
  </si>
  <si>
    <t>MP307</t>
  </si>
  <si>
    <t>Madibeng</t>
  </si>
  <si>
    <t>NW372</t>
  </si>
  <si>
    <t>Matjhabeng</t>
  </si>
  <si>
    <t>FS184</t>
  </si>
  <si>
    <t>Mbombela</t>
  </si>
  <si>
    <t>MP322</t>
  </si>
  <si>
    <t>Mogale City</t>
  </si>
  <si>
    <t>GT481</t>
  </si>
  <si>
    <t>Msunduzi</t>
  </si>
  <si>
    <t>KZN225</t>
  </si>
  <si>
    <t>Newcastle</t>
  </si>
  <si>
    <t>KZN252</t>
  </si>
  <si>
    <t>Polokwane</t>
  </si>
  <si>
    <t>LIM354</t>
  </si>
  <si>
    <t>Rustenburg</t>
  </si>
  <si>
    <t>NW373</t>
  </si>
  <si>
    <t>Sol Plaatje</t>
  </si>
  <si>
    <t>NC091</t>
  </si>
  <si>
    <t>Stellenbosch</t>
  </si>
  <si>
    <t>WC024</t>
  </si>
  <si>
    <t>Steve Tshwete</t>
  </si>
  <si>
    <t>MP313</t>
  </si>
  <si>
    <t>Tlokwe</t>
  </si>
  <si>
    <t>NW402</t>
  </si>
  <si>
    <t>uMhlathuze</t>
  </si>
  <si>
    <t>KZN282</t>
  </si>
  <si>
    <t>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</si>
  <si>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</si>
  <si>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</si>
  <si>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</si>
  <si>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</si>
  <si>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</si>
  <si>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</si>
  <si>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</si>
  <si>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</si>
  <si>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</si>
  <si>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</si>
  <si>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</si>
  <si>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</si>
  <si>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</si>
  <si>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</si>
  <si>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</si>
  <si>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</si>
  <si>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</si>
  <si>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</si>
  <si>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</si>
  <si>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</si>
  <si>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</si>
  <si>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</si>
  <si>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</si>
  <si>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</si>
  <si>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</si>
  <si>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</si>
  <si>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</si>
  <si>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</si>
  <si>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</si>
  <si>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</si>
  <si>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</si>
  <si>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</si>
  <si>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</si>
  <si>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</si>
  <si>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</si>
  <si>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</si>
  <si>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</si>
  <si>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</si>
  <si>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</si>
  <si>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</si>
  <si>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</si>
  <si>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</si>
  <si>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</si>
  <si>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</si>
  <si>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</si>
  <si>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</si>
  <si>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</si>
  <si>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</si>
  <si>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</si>
  <si>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</si>
  <si>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</si>
  <si>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</si>
  <si>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</si>
  <si>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</si>
  <si>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</si>
  <si>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</si>
  <si>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</si>
  <si>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</si>
  <si>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</si>
  <si>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</si>
  <si>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</si>
  <si>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</si>
  <si>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</si>
  <si>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</si>
  <si>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</si>
  <si>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</si>
  <si>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</si>
  <si>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</si>
  <si>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</si>
  <si>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</si>
  <si>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</si>
  <si>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</si>
  <si>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</si>
  <si>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</si>
  <si>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</si>
  <si>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</si>
  <si>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</si>
  <si>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</si>
  <si>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</si>
  <si>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</si>
  <si>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</si>
  <si>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</si>
  <si>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</si>
  <si>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</si>
  <si>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</si>
  <si>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</si>
  <si>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</si>
  <si>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</si>
  <si>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</si>
  <si>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</si>
  <si>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</si>
  <si>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</si>
  <si>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</si>
  <si>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</si>
  <si>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</si>
  <si>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</si>
  <si>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</si>
  <si>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</si>
  <si>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</si>
  <si>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</si>
  <si>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</si>
  <si>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</si>
  <si>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</si>
  <si>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</si>
  <si>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</si>
  <si>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</si>
  <si>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</si>
  <si>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</si>
  <si>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</si>
  <si>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</si>
  <si>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</si>
  <si>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</si>
  <si>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</si>
  <si>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</si>
  <si>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</si>
  <si>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</si>
  <si>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</si>
  <si>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</si>
  <si>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</si>
  <si>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</si>
  <si>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</si>
  <si>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</si>
  <si>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</si>
  <si>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</si>
  <si>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</si>
  <si>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</si>
  <si>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</si>
  <si>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</si>
  <si>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</si>
  <si>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</si>
  <si>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</si>
  <si>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</si>
  <si>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</si>
  <si>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</si>
  <si>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</si>
  <si>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</si>
  <si>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</si>
  <si>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</si>
  <si>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</si>
  <si>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</si>
  <si>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</si>
  <si>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</si>
  <si>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</si>
  <si>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</si>
  <si>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</si>
  <si>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Midvaal</t>
  </si>
  <si>
    <t>GT422</t>
  </si>
  <si>
    <t>Lesedi</t>
  </si>
  <si>
    <t>GT423</t>
  </si>
  <si>
    <t>Sedibeng</t>
  </si>
  <si>
    <t>DC42</t>
  </si>
  <si>
    <t>Total Sedibeng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</si>
  <si>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</si>
  <si>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</si>
  <si>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</si>
  <si>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</si>
  <si>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</si>
  <si>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</si>
  <si>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</si>
  <si>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</si>
  <si>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</si>
  <si>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</si>
  <si>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</si>
  <si>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</si>
  <si>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</si>
  <si>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</si>
  <si>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</si>
  <si>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</si>
  <si>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</si>
  <si>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</si>
  <si>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</si>
  <si>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</si>
  <si>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</si>
  <si>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</si>
  <si>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</si>
  <si>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</si>
  <si>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</si>
  <si>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</si>
  <si>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</si>
  <si>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</si>
  <si>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</si>
  <si>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</si>
  <si>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</si>
  <si>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</si>
  <si>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</si>
  <si>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</si>
  <si>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</si>
  <si>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</si>
  <si>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</si>
  <si>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</si>
  <si>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</si>
  <si>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</si>
  <si>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</si>
  <si>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</si>
  <si>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</si>
  <si>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</si>
  <si>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</si>
  <si>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</si>
  <si>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</si>
  <si>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</si>
  <si>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</si>
  <si>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</si>
  <si>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</si>
  <si>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</si>
  <si>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</si>
  <si>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</si>
  <si>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</si>
  <si>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</si>
  <si>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</si>
  <si>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</si>
  <si>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</si>
  <si>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</si>
  <si>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</si>
  <si>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</si>
  <si>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</si>
  <si>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</si>
  <si>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</si>
  <si>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</si>
  <si>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</si>
  <si>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</si>
  <si>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</si>
  <si>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</si>
  <si>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</si>
  <si>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</si>
  <si>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</si>
  <si>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</si>
  <si>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</si>
  <si>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</si>
  <si>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</si>
  <si>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</si>
  <si>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</si>
  <si>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</si>
  <si>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</si>
  <si>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</si>
  <si>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</si>
  <si>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</si>
  <si>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</si>
  <si>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</si>
  <si>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</si>
  <si>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</si>
  <si>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</si>
  <si>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</si>
  <si>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</si>
  <si>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</si>
  <si>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</si>
  <si>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</si>
  <si>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</si>
  <si>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</si>
  <si>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</si>
  <si>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</si>
  <si>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</si>
  <si>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</si>
  <si>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</si>
  <si>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</si>
  <si>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</si>
  <si>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</si>
  <si>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</si>
  <si>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</si>
  <si>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</si>
  <si>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</si>
  <si>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</si>
  <si>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</si>
  <si>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</si>
  <si>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</si>
  <si>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</si>
  <si>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</si>
  <si>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</si>
  <si>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</si>
  <si>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</si>
  <si>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</si>
  <si>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</si>
  <si>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</si>
  <si>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</si>
  <si>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</si>
  <si>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</si>
  <si>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</si>
  <si>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</si>
  <si>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</si>
  <si>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</si>
  <si>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</si>
  <si>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</si>
  <si>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</si>
  <si>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</si>
  <si>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</si>
  <si>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</si>
  <si>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</si>
  <si>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</si>
  <si>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</si>
  <si>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</si>
  <si>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</si>
  <si>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</si>
  <si>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</si>
  <si>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</si>
  <si>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</si>
  <si>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</si>
  <si>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</si>
  <si>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</si>
  <si>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</si>
  <si>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</si>
  <si>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</si>
  <si>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</si>
  <si>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</si>
  <si>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</si>
  <si>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</si>
  <si>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</si>
  <si>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</si>
  <si>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</si>
  <si>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</si>
  <si>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</si>
  <si>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</si>
  <si>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</si>
  <si>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</si>
  <si>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</si>
  <si>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</si>
  <si>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</si>
  <si>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</si>
  <si>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</si>
  <si>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</si>
  <si>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</si>
  <si>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</si>
  <si>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</si>
  <si>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</si>
  <si>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</si>
  <si>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</si>
  <si>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</si>
  <si>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</si>
  <si>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</si>
  <si>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</si>
  <si>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</si>
  <si>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</si>
  <si>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</si>
  <si>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</si>
  <si>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</si>
  <si>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</si>
  <si>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</si>
  <si>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</si>
  <si>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</si>
  <si>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</si>
  <si>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</si>
  <si>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</si>
  <si>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</si>
  <si>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</si>
  <si>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</si>
  <si>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</si>
  <si>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</si>
  <si>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</si>
  <si>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</si>
  <si>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</si>
  <si>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</si>
  <si>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</si>
  <si>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</si>
  <si>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</si>
  <si>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</si>
  <si>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</si>
  <si>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</si>
  <si>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</si>
  <si>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</si>
  <si>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</si>
  <si>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</si>
  <si>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</si>
  <si>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</si>
  <si>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</si>
  <si>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</si>
  <si>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Gert Sibande</t>
  </si>
  <si>
    <t>DC30</t>
  </si>
  <si>
    <t>Total Gert Sibande</t>
  </si>
  <si>
    <t>Victor Khanye</t>
  </si>
  <si>
    <t>MP311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</si>
  <si>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</si>
  <si>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</si>
  <si>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</si>
  <si>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</si>
  <si>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</si>
  <si>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</si>
  <si>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</si>
  <si>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</si>
  <si>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</si>
  <si>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</si>
  <si>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</si>
  <si>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</si>
  <si>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</si>
  <si>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</si>
  <si>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</si>
  <si>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</si>
  <si>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</si>
  <si>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</si>
  <si>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</si>
  <si>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</si>
  <si>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</si>
  <si>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</si>
  <si>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</si>
  <si>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</si>
  <si>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</si>
  <si>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</si>
  <si>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</si>
  <si>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</si>
  <si>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</si>
  <si>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</si>
  <si>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</si>
  <si>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</si>
  <si>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</si>
  <si>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</si>
  <si>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</si>
  <si>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</si>
  <si>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</si>
  <si>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</si>
  <si>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</si>
  <si>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</si>
  <si>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</si>
  <si>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</si>
  <si>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</si>
  <si>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</si>
  <si>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</si>
  <si>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</si>
  <si>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</si>
  <si>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</si>
  <si>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</si>
  <si>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</si>
  <si>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</si>
  <si>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</si>
  <si>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</si>
  <si>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</si>
  <si>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</si>
  <si>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</si>
  <si>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</si>
  <si>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</si>
  <si>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</si>
  <si>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</si>
  <si>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</si>
  <si>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</si>
  <si>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</si>
  <si>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</si>
  <si>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</si>
  <si>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</si>
  <si>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</si>
  <si>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</si>
  <si>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</si>
  <si>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</si>
  <si>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</si>
  <si>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</si>
  <si>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</si>
  <si>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</si>
  <si>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</si>
  <si>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</si>
  <si>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</si>
  <si>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</si>
  <si>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Z F Mgcawu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</si>
  <si>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</si>
  <si>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</si>
  <si>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</si>
  <si>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</si>
  <si>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</si>
  <si>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</si>
  <si>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</si>
  <si>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</si>
  <si>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</si>
  <si>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</si>
  <si>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Moretele</t>
  </si>
  <si>
    <t>NW371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</si>
  <si>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</si>
  <si>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</si>
  <si>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</si>
  <si>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</si>
  <si>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</si>
  <si>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</si>
  <si>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</si>
  <si>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</si>
  <si>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</si>
  <si>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</si>
  <si>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</si>
  <si>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</si>
  <si>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</si>
  <si>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</si>
  <si>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</si>
  <si>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</si>
  <si>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</si>
  <si>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</si>
  <si>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</si>
  <si>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</si>
  <si>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</si>
  <si>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</si>
  <si>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</si>
  <si>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</si>
  <si>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</si>
  <si>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</si>
  <si>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</si>
  <si>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</si>
  <si>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</si>
  <si>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</si>
  <si>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</si>
  <si>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</si>
  <si>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</si>
  <si>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Ventersdorp</t>
  </si>
  <si>
    <t>NW401</t>
  </si>
  <si>
    <t>Maquassi Hills</t>
  </si>
  <si>
    <t>NW404</t>
  </si>
  <si>
    <t>Dr Kenneth Kaunda</t>
  </si>
  <si>
    <t>DC40</t>
  </si>
  <si>
    <t>Total Dr Kenneth Kaunda</t>
  </si>
  <si>
    <t>Total North West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</si>
  <si>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</si>
  <si>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</si>
  <si>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</si>
  <si>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</si>
  <si>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</si>
  <si>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</si>
  <si>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</si>
  <si>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</si>
  <si>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</si>
  <si>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</si>
  <si>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</si>
  <si>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</si>
  <si>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</si>
  <si>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</si>
  <si>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</si>
  <si>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</si>
  <si>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</si>
  <si>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</si>
  <si>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</si>
  <si>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</si>
  <si>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</si>
  <si>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</si>
  <si>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</si>
  <si>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</si>
  <si>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</si>
  <si>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</si>
  <si>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</si>
  <si>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</si>
  <si>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</si>
  <si>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</si>
  <si>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</si>
  <si>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</si>
  <si>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</si>
  <si>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</si>
  <si>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</si>
  <si>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</si>
  <si>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</si>
  <si>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</si>
  <si>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</si>
  <si>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</si>
  <si>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</si>
  <si>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</si>
  <si>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</si>
  <si>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</si>
  <si>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</si>
  <si>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</si>
  <si>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</si>
  <si>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</si>
  <si>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</si>
  <si>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</si>
  <si>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</si>
  <si>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</si>
  <si>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</si>
  <si>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</si>
  <si>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</si>
  <si>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</si>
  <si>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</si>
  <si>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</si>
  <si>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</si>
  <si>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STATEMENT OF CAPITAL AND OPERATING EXPENDITURE AS AT 31 MARCH 2016</t>
  </si>
  <si>
    <t>Summary Secondary cities</t>
  </si>
  <si>
    <t xml:space="preserve">Total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</si>
</sst>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.0\%"/>
    <numFmt numFmtId="178" formatCode="_(* #,##0_);_(* \(#,##0\);_(* &quot;- &quot;?_);_(@_)"/>
    <numFmt numFmtId="179" formatCode="0.0%;\(0.0%\);_(* &quot;- &quot;?_);_(@_)"/>
    <numFmt numFmtId="180" formatCode="##,##0"/>
    <numFmt numFmtId="181" formatCode="#,###.0%"/>
    <numFmt numFmtId="18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0"/>
    </font>
    <font>
      <i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4" fillId="0" borderId="10" xfId="0" applyFont="1" applyBorder="1" applyAlignment="1" applyProtection="1">
      <alignment wrapText="1"/>
      <protection/>
    </xf>
    <xf numFmtId="0" fontId="4" fillId="0" borderId="11" xfId="0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0" fontId="5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 applyProtection="1">
      <alignment wrapText="1"/>
      <protection/>
    </xf>
    <xf numFmtId="0" fontId="4" fillId="0" borderId="14" xfId="0" applyFont="1" applyBorder="1" applyAlignment="1" applyProtection="1">
      <alignment wrapText="1"/>
      <protection/>
    </xf>
    <xf numFmtId="0" fontId="4" fillId="0" borderId="15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20" xfId="0" applyFont="1" applyBorder="1" applyAlignment="1" applyProtection="1">
      <alignment horizontal="center" vertical="top" wrapText="1"/>
      <protection/>
    </xf>
    <xf numFmtId="0" fontId="5" fillId="0" borderId="11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 wrapText="1"/>
      <protection/>
    </xf>
    <xf numFmtId="0" fontId="5" fillId="0" borderId="27" xfId="0" applyFont="1" applyBorder="1" applyAlignment="1" applyProtection="1">
      <alignment/>
      <protection/>
    </xf>
    <xf numFmtId="0" fontId="5" fillId="0" borderId="28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 horizontal="left" indent="1"/>
      <protection/>
    </xf>
    <xf numFmtId="0" fontId="6" fillId="0" borderId="24" xfId="0" applyFont="1" applyBorder="1" applyAlignment="1" applyProtection="1">
      <alignment wrapText="1"/>
      <protection/>
    </xf>
    <xf numFmtId="179" fontId="5" fillId="0" borderId="25" xfId="0" applyNumberFormat="1" applyFont="1" applyFill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 indent="1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9" fontId="7" fillId="0" borderId="25" xfId="0" applyNumberFormat="1" applyFont="1" applyFill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7" fillId="0" borderId="30" xfId="0" applyFont="1" applyBorder="1" applyAlignment="1" applyProtection="1">
      <alignment/>
      <protection/>
    </xf>
    <xf numFmtId="178" fontId="5" fillId="0" borderId="0" xfId="0" applyNumberFormat="1" applyFont="1" applyFill="1" applyBorder="1" applyAlignment="1" applyProtection="1">
      <alignment horizontal="left" indent="2"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26" xfId="0" applyNumberFormat="1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6" fillId="0" borderId="14" xfId="0" applyFont="1" applyBorder="1" applyAlignment="1" applyProtection="1">
      <alignment horizontal="left" indent="1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left" indent="1"/>
      <protection/>
    </xf>
    <xf numFmtId="181" fontId="8" fillId="0" borderId="26" xfId="0" applyNumberFormat="1" applyFont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78" fontId="9" fillId="0" borderId="0" xfId="0" applyNumberFormat="1" applyFont="1" applyFill="1" applyBorder="1" applyAlignment="1" applyProtection="1">
      <alignment horizontal="left" indent="2"/>
      <protection/>
    </xf>
    <xf numFmtId="178" fontId="5" fillId="0" borderId="0" xfId="0" applyNumberFormat="1" applyFont="1" applyFill="1" applyBorder="1" applyAlignment="1" applyProtection="1">
      <alignment horizontal="left" wrapText="1" indent="2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 horizontal="left" indent="1"/>
      <protection/>
    </xf>
    <xf numFmtId="0" fontId="7" fillId="0" borderId="24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left" indent="2"/>
      <protection/>
    </xf>
    <xf numFmtId="0" fontId="5" fillId="0" borderId="15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5" fillId="0" borderId="33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34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 indent="2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2" fontId="5" fillId="0" borderId="27" xfId="0" applyNumberFormat="1" applyFont="1" applyFill="1" applyBorder="1" applyAlignment="1" applyProtection="1">
      <alignment/>
      <protection/>
    </xf>
    <xf numFmtId="182" fontId="5" fillId="0" borderId="28" xfId="0" applyNumberFormat="1" applyFont="1" applyFill="1" applyBorder="1" applyAlignment="1" applyProtection="1">
      <alignment/>
      <protection/>
    </xf>
    <xf numFmtId="182" fontId="5" fillId="0" borderId="29" xfId="0" applyNumberFormat="1" applyFont="1" applyFill="1" applyBorder="1" applyAlignment="1" applyProtection="1">
      <alignment/>
      <protection/>
    </xf>
    <xf numFmtId="182" fontId="5" fillId="0" borderId="35" xfId="0" applyNumberFormat="1" applyFont="1" applyFill="1" applyBorder="1" applyAlignment="1" applyProtection="1">
      <alignment/>
      <protection/>
    </xf>
    <xf numFmtId="182" fontId="7" fillId="0" borderId="27" xfId="0" applyNumberFormat="1" applyFont="1" applyFill="1" applyBorder="1" applyAlignment="1" applyProtection="1">
      <alignment/>
      <protection/>
    </xf>
    <xf numFmtId="182" fontId="7" fillId="0" borderId="28" xfId="0" applyNumberFormat="1" applyFont="1" applyFill="1" applyBorder="1" applyAlignment="1" applyProtection="1">
      <alignment/>
      <protection/>
    </xf>
    <xf numFmtId="182" fontId="7" fillId="0" borderId="35" xfId="0" applyNumberFormat="1" applyFont="1" applyFill="1" applyBorder="1" applyAlignment="1" applyProtection="1">
      <alignment/>
      <protection/>
    </xf>
    <xf numFmtId="182" fontId="7" fillId="0" borderId="13" xfId="0" applyNumberFormat="1" applyFont="1" applyBorder="1" applyAlignment="1" applyProtection="1">
      <alignment/>
      <protection/>
    </xf>
    <xf numFmtId="182" fontId="7" fillId="0" borderId="31" xfId="0" applyNumberFormat="1" applyFont="1" applyBorder="1" applyAlignment="1" applyProtection="1">
      <alignment/>
      <protection/>
    </xf>
    <xf numFmtId="182" fontId="7" fillId="0" borderId="16" xfId="0" applyNumberFormat="1" applyFont="1" applyBorder="1" applyAlignment="1" applyProtection="1">
      <alignment/>
      <protection/>
    </xf>
    <xf numFmtId="182" fontId="7" fillId="0" borderId="33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7" fillId="0" borderId="29" xfId="0" applyNumberFormat="1" applyFont="1" applyFill="1" applyBorder="1" applyAlignment="1" applyProtection="1">
      <alignment/>
      <protection/>
    </xf>
    <xf numFmtId="182" fontId="5" fillId="0" borderId="36" xfId="0" applyNumberFormat="1" applyFont="1" applyFill="1" applyBorder="1" applyAlignment="1" applyProtection="1">
      <alignment/>
      <protection/>
    </xf>
    <xf numFmtId="182" fontId="7" fillId="0" borderId="36" xfId="0" applyNumberFormat="1" applyFont="1" applyFill="1" applyBorder="1" applyAlignment="1" applyProtection="1">
      <alignment/>
      <protection/>
    </xf>
    <xf numFmtId="182" fontId="5" fillId="0" borderId="31" xfId="0" applyNumberFormat="1" applyFont="1" applyBorder="1" applyAlignment="1" applyProtection="1">
      <alignment/>
      <protection/>
    </xf>
    <xf numFmtId="182" fontId="5" fillId="0" borderId="32" xfId="0" applyNumberFormat="1" applyFont="1" applyBorder="1" applyAlignment="1" applyProtection="1">
      <alignment/>
      <protection/>
    </xf>
    <xf numFmtId="182" fontId="5" fillId="0" borderId="33" xfId="0" applyNumberFormat="1" applyFont="1" applyBorder="1" applyAlignment="1" applyProtection="1">
      <alignment/>
      <protection/>
    </xf>
    <xf numFmtId="182" fontId="5" fillId="0" borderId="30" xfId="0" applyNumberFormat="1" applyFont="1" applyBorder="1" applyAlignment="1" applyProtection="1">
      <alignment/>
      <protection/>
    </xf>
    <xf numFmtId="182" fontId="5" fillId="0" borderId="34" xfId="0" applyNumberFormat="1" applyFont="1" applyBorder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 wrapText="1" indent="2"/>
      <protection/>
    </xf>
    <xf numFmtId="182" fontId="5" fillId="0" borderId="33" xfId="0" applyNumberFormat="1" applyFont="1" applyFill="1" applyBorder="1" applyAlignment="1" applyProtection="1">
      <alignment/>
      <protection/>
    </xf>
    <xf numFmtId="182" fontId="5" fillId="0" borderId="31" xfId="0" applyNumberFormat="1" applyFont="1" applyFill="1" applyBorder="1" applyAlignment="1" applyProtection="1">
      <alignment/>
      <protection/>
    </xf>
    <xf numFmtId="182" fontId="5" fillId="0" borderId="32" xfId="0" applyNumberFormat="1" applyFont="1" applyFill="1" applyBorder="1" applyAlignment="1" applyProtection="1">
      <alignment/>
      <protection/>
    </xf>
    <xf numFmtId="182" fontId="5" fillId="0" borderId="26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horizontal="right" wrapText="1"/>
      <protection/>
    </xf>
    <xf numFmtId="182" fontId="6" fillId="0" borderId="0" xfId="0" applyNumberFormat="1" applyFont="1" applyAlignment="1" applyProtection="1">
      <alignment horizontal="right" wrapText="1"/>
      <protection/>
    </xf>
    <xf numFmtId="182" fontId="6" fillId="0" borderId="28" xfId="0" applyNumberFormat="1" applyFont="1" applyBorder="1" applyAlignment="1" applyProtection="1">
      <alignment horizontal="right" wrapText="1"/>
      <protection/>
    </xf>
    <xf numFmtId="182" fontId="4" fillId="0" borderId="27" xfId="0" applyNumberFormat="1" applyFont="1" applyBorder="1" applyAlignment="1" applyProtection="1">
      <alignment horizontal="right"/>
      <protection/>
    </xf>
    <xf numFmtId="182" fontId="4" fillId="0" borderId="0" xfId="0" applyNumberFormat="1" applyFont="1" applyAlignment="1" applyProtection="1">
      <alignment horizontal="right"/>
      <protection/>
    </xf>
    <xf numFmtId="182" fontId="4" fillId="0" borderId="28" xfId="0" applyNumberFormat="1" applyFont="1" applyBorder="1" applyAlignment="1" applyProtection="1">
      <alignment horizontal="right"/>
      <protection/>
    </xf>
    <xf numFmtId="182" fontId="4" fillId="0" borderId="27" xfId="0" applyNumberFormat="1" applyFont="1" applyBorder="1" applyAlignment="1" applyProtection="1">
      <alignment horizontal="right" wrapText="1"/>
      <protection/>
    </xf>
    <xf numFmtId="182" fontId="4" fillId="0" borderId="0" xfId="0" applyNumberFormat="1" applyFont="1" applyAlignment="1" applyProtection="1">
      <alignment horizontal="right" wrapText="1"/>
      <protection/>
    </xf>
    <xf numFmtId="182" fontId="4" fillId="0" borderId="28" xfId="0" applyNumberFormat="1" applyFont="1" applyBorder="1" applyAlignment="1" applyProtection="1">
      <alignment horizontal="right" wrapText="1"/>
      <protection/>
    </xf>
    <xf numFmtId="182" fontId="6" fillId="0" borderId="33" xfId="0" applyNumberFormat="1" applyFont="1" applyBorder="1" applyAlignment="1" applyProtection="1">
      <alignment horizontal="right" wrapText="1"/>
      <protection/>
    </xf>
    <xf numFmtId="182" fontId="6" fillId="0" borderId="16" xfId="0" applyNumberFormat="1" applyFont="1" applyBorder="1" applyAlignment="1" applyProtection="1">
      <alignment horizontal="right" wrapText="1"/>
      <protection/>
    </xf>
    <xf numFmtId="182" fontId="6" fillId="0" borderId="31" xfId="0" applyNumberFormat="1" applyFont="1" applyBorder="1" applyAlignment="1" applyProtection="1">
      <alignment horizontal="right" wrapText="1"/>
      <protection/>
    </xf>
    <xf numFmtId="182" fontId="8" fillId="0" borderId="26" xfId="0" applyNumberFormat="1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4" fillId="0" borderId="37" xfId="0" applyFont="1" applyBorder="1" applyAlignment="1" applyProtection="1">
      <alignment horizontal="center" wrapText="1"/>
      <protection/>
    </xf>
    <xf numFmtId="0" fontId="4" fillId="0" borderId="3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 wrapText="1"/>
      <protection/>
    </xf>
    <xf numFmtId="0" fontId="4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right" wrapText="1"/>
      <protection/>
    </xf>
    <xf numFmtId="0" fontId="0" fillId="0" borderId="16" xfId="0" applyFont="1" applyBorder="1" applyAlignment="1" applyProtection="1">
      <alignment horizontal="right" wrapText="1"/>
      <protection/>
    </xf>
    <xf numFmtId="0" fontId="0" fillId="0" borderId="0" xfId="0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wrapText="1"/>
      <protection/>
    </xf>
    <xf numFmtId="0" fontId="4" fillId="0" borderId="24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13" xfId="0" applyFont="1" applyBorder="1" applyAlignment="1" applyProtection="1">
      <alignment horizontal="center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4" fillId="0" borderId="2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136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s="7" customFormat="1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2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19</v>
      </c>
      <c r="C7" s="132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2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20</v>
      </c>
      <c r="C9" s="133" t="s">
        <v>21</v>
      </c>
      <c r="D9" s="78">
        <v>28842958959</v>
      </c>
      <c r="E9" s="79">
        <v>8365649700</v>
      </c>
      <c r="F9" s="80">
        <f>$D9+$E9</f>
        <v>37208608659</v>
      </c>
      <c r="G9" s="78">
        <v>28418795159</v>
      </c>
      <c r="H9" s="79">
        <v>7926165374</v>
      </c>
      <c r="I9" s="81">
        <f>$G9+$H9</f>
        <v>36344960533</v>
      </c>
      <c r="J9" s="78">
        <v>5942386272</v>
      </c>
      <c r="K9" s="79">
        <v>1279851841</v>
      </c>
      <c r="L9" s="79">
        <f>$J9+$K9</f>
        <v>7222238113</v>
      </c>
      <c r="M9" s="40">
        <f>IF($F9=0,0,$L9/$F9)</f>
        <v>0.19410126777887698</v>
      </c>
      <c r="N9" s="106">
        <v>6301952633</v>
      </c>
      <c r="O9" s="107">
        <v>1804148139</v>
      </c>
      <c r="P9" s="108">
        <f>$N9+$O9</f>
        <v>8106100772</v>
      </c>
      <c r="Q9" s="40">
        <f>IF($F9=0,0,$P9/$F9)</f>
        <v>0.2178555195731378</v>
      </c>
      <c r="R9" s="106">
        <v>5951860103</v>
      </c>
      <c r="S9" s="108">
        <v>1055414186</v>
      </c>
      <c r="T9" s="108">
        <f>$R9+$S9</f>
        <v>7007274289</v>
      </c>
      <c r="U9" s="40">
        <f>IF($I9=0,0,$T9/$I9)</f>
        <v>0.19279906171964697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18196199008</v>
      </c>
      <c r="AA9" s="79">
        <f>$K9+$O9+$S9</f>
        <v>4139414166</v>
      </c>
      <c r="AB9" s="79">
        <f>$Z9+$AA9</f>
        <v>22335613174</v>
      </c>
      <c r="AC9" s="40">
        <f>IF($I9=0,0,$AB9/$I9)</f>
        <v>0.6145449835808741</v>
      </c>
      <c r="AD9" s="78">
        <v>5398913623</v>
      </c>
      <c r="AE9" s="79">
        <v>1353148976</v>
      </c>
      <c r="AF9" s="79">
        <f>$AD9+$AE9</f>
        <v>6752062599</v>
      </c>
      <c r="AG9" s="40">
        <f>IF(34114397360=0,0,20415638898/34114397360)</f>
        <v>0.598446417873348</v>
      </c>
      <c r="AH9" s="40">
        <f>IF($AF9=0,0,(($T9/$AF9)-1))</f>
        <v>0.03779758944145417</v>
      </c>
      <c r="AI9" s="12">
        <v>33089298942</v>
      </c>
      <c r="AJ9" s="12">
        <v>34114397360</v>
      </c>
      <c r="AK9" s="12">
        <v>20415638898</v>
      </c>
      <c r="AL9" s="12"/>
    </row>
    <row r="10" spans="1:38" s="13" customFormat="1" ht="12.75">
      <c r="A10" s="29"/>
      <c r="B10" s="38" t="s">
        <v>22</v>
      </c>
      <c r="C10" s="133" t="s">
        <v>23</v>
      </c>
      <c r="D10" s="78">
        <v>16548249147</v>
      </c>
      <c r="E10" s="79">
        <v>3475606864</v>
      </c>
      <c r="F10" s="81">
        <f aca="true" t="shared" si="0" ref="F10:F18">$D10+$E10</f>
        <v>20023856011</v>
      </c>
      <c r="G10" s="78">
        <v>15982260320</v>
      </c>
      <c r="H10" s="79">
        <v>3221679574</v>
      </c>
      <c r="I10" s="81">
        <f aca="true" t="shared" si="1" ref="I10:I18">$G10+$H10</f>
        <v>19203939894</v>
      </c>
      <c r="J10" s="78">
        <v>3171863346</v>
      </c>
      <c r="K10" s="79">
        <v>424383906</v>
      </c>
      <c r="L10" s="79">
        <f aca="true" t="shared" si="2" ref="L10:L18">$J10+$K10</f>
        <v>3596247252</v>
      </c>
      <c r="M10" s="40">
        <f aca="true" t="shared" si="3" ref="M10:M18">IF($F10=0,0,$L10/$F10)</f>
        <v>0.1795981378424026</v>
      </c>
      <c r="N10" s="106">
        <v>3365576096</v>
      </c>
      <c r="O10" s="107">
        <v>746424736</v>
      </c>
      <c r="P10" s="108">
        <f aca="true" t="shared" si="4" ref="P10:P18">$N10+$O10</f>
        <v>4112000832</v>
      </c>
      <c r="Q10" s="40">
        <f aca="true" t="shared" si="5" ref="Q10:Q18">IF($F10=0,0,$P10/$F10)</f>
        <v>0.20535509393101378</v>
      </c>
      <c r="R10" s="106">
        <v>3203527401</v>
      </c>
      <c r="S10" s="108">
        <v>637882894</v>
      </c>
      <c r="T10" s="108">
        <f aca="true" t="shared" si="6" ref="T10:T18">$R10+$S10</f>
        <v>3841410295</v>
      </c>
      <c r="U10" s="40">
        <f aca="true" t="shared" si="7" ref="U10:U18">IF($I10=0,0,$T10/$I10)</f>
        <v>0.20003240565235234</v>
      </c>
      <c r="V10" s="106">
        <v>0</v>
      </c>
      <c r="W10" s="108">
        <v>0</v>
      </c>
      <c r="X10" s="108">
        <f aca="true" t="shared" si="8" ref="X10:X18">$V10+$W10</f>
        <v>0</v>
      </c>
      <c r="Y10" s="40">
        <f aca="true" t="shared" si="9" ref="Y10:Y18">IF($I10=0,0,$X10/$I10)</f>
        <v>0</v>
      </c>
      <c r="Z10" s="78">
        <f aca="true" t="shared" si="10" ref="Z10:Z18">$J10+$N10+$R10</f>
        <v>9740966843</v>
      </c>
      <c r="AA10" s="79">
        <f aca="true" t="shared" si="11" ref="AA10:AA18">$K10+$O10+$S10</f>
        <v>1808691536</v>
      </c>
      <c r="AB10" s="79">
        <f aca="true" t="shared" si="12" ref="AB10:AB18">$Z10+$AA10</f>
        <v>11549658379</v>
      </c>
      <c r="AC10" s="40">
        <f aca="true" t="shared" si="13" ref="AC10:AC18">IF($I10=0,0,$AB10/$I10)</f>
        <v>0.6014212938985779</v>
      </c>
      <c r="AD10" s="78">
        <v>2872555241</v>
      </c>
      <c r="AE10" s="79">
        <v>509412639</v>
      </c>
      <c r="AF10" s="79">
        <f aca="true" t="shared" si="14" ref="AF10:AF18">$AD10+$AE10</f>
        <v>3381967880</v>
      </c>
      <c r="AG10" s="40">
        <f>IF(18010028461=0,0,9981850420/18010028461)</f>
        <v>0.5542384589572027</v>
      </c>
      <c r="AH10" s="40">
        <f aca="true" t="shared" si="15" ref="AH10:AH18">IF($AF10=0,0,(($T10/$AF10)-1))</f>
        <v>0.1358506145836016</v>
      </c>
      <c r="AI10" s="12">
        <v>17997911566</v>
      </c>
      <c r="AJ10" s="12">
        <v>18010028461</v>
      </c>
      <c r="AK10" s="12">
        <v>9981850420</v>
      </c>
      <c r="AL10" s="12"/>
    </row>
    <row r="11" spans="1:38" s="13" customFormat="1" ht="12.75">
      <c r="A11" s="29"/>
      <c r="B11" s="38" t="s">
        <v>24</v>
      </c>
      <c r="C11" s="133" t="s">
        <v>25</v>
      </c>
      <c r="D11" s="78">
        <v>110862139226</v>
      </c>
      <c r="E11" s="79">
        <v>19471356372</v>
      </c>
      <c r="F11" s="81">
        <f t="shared" si="0"/>
        <v>130333495598</v>
      </c>
      <c r="G11" s="78">
        <v>112867902990</v>
      </c>
      <c r="H11" s="79">
        <v>19244069537</v>
      </c>
      <c r="I11" s="81">
        <f t="shared" si="1"/>
        <v>132111972527</v>
      </c>
      <c r="J11" s="78">
        <v>25824300283</v>
      </c>
      <c r="K11" s="79">
        <v>1755904819</v>
      </c>
      <c r="L11" s="79">
        <f t="shared" si="2"/>
        <v>27580205102</v>
      </c>
      <c r="M11" s="40">
        <f t="shared" si="3"/>
        <v>0.21161256341246498</v>
      </c>
      <c r="N11" s="106">
        <v>27845642483</v>
      </c>
      <c r="O11" s="107">
        <v>4016448745</v>
      </c>
      <c r="P11" s="108">
        <f t="shared" si="4"/>
        <v>31862091228</v>
      </c>
      <c r="Q11" s="40">
        <f t="shared" si="5"/>
        <v>0.244465868745478</v>
      </c>
      <c r="R11" s="106">
        <v>24618885802</v>
      </c>
      <c r="S11" s="108">
        <v>2800297268</v>
      </c>
      <c r="T11" s="108">
        <f t="shared" si="6"/>
        <v>27419183070</v>
      </c>
      <c r="U11" s="40">
        <f t="shared" si="7"/>
        <v>0.20754502824788484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78288828568</v>
      </c>
      <c r="AA11" s="79">
        <f t="shared" si="11"/>
        <v>8572650832</v>
      </c>
      <c r="AB11" s="79">
        <f t="shared" si="12"/>
        <v>86861479400</v>
      </c>
      <c r="AC11" s="40">
        <f t="shared" si="13"/>
        <v>0.6574837824198555</v>
      </c>
      <c r="AD11" s="78">
        <v>22536850988</v>
      </c>
      <c r="AE11" s="79">
        <v>3213956699</v>
      </c>
      <c r="AF11" s="79">
        <f t="shared" si="14"/>
        <v>25750807687</v>
      </c>
      <c r="AG11" s="40">
        <f>IF(123217867127=0,0,78234739508/123217867127)</f>
        <v>0.6349301552782428</v>
      </c>
      <c r="AH11" s="40">
        <f t="shared" si="15"/>
        <v>0.06478924479880521</v>
      </c>
      <c r="AI11" s="12">
        <v>119421157334</v>
      </c>
      <c r="AJ11" s="12">
        <v>123217867127</v>
      </c>
      <c r="AK11" s="12">
        <v>78234739508</v>
      </c>
      <c r="AL11" s="12"/>
    </row>
    <row r="12" spans="1:38" s="13" customFormat="1" ht="12.75">
      <c r="A12" s="29"/>
      <c r="B12" s="38" t="s">
        <v>26</v>
      </c>
      <c r="C12" s="133" t="s">
        <v>27</v>
      </c>
      <c r="D12" s="78">
        <v>52546674832</v>
      </c>
      <c r="E12" s="79">
        <v>13943250451</v>
      </c>
      <c r="F12" s="81">
        <f t="shared" si="0"/>
        <v>66489925283</v>
      </c>
      <c r="G12" s="78">
        <v>53261036347</v>
      </c>
      <c r="H12" s="79">
        <v>14135070321</v>
      </c>
      <c r="I12" s="81">
        <f t="shared" si="1"/>
        <v>67396106668</v>
      </c>
      <c r="J12" s="78">
        <v>11538036143</v>
      </c>
      <c r="K12" s="79">
        <v>2037436935</v>
      </c>
      <c r="L12" s="79">
        <f t="shared" si="2"/>
        <v>13575473078</v>
      </c>
      <c r="M12" s="40">
        <f t="shared" si="3"/>
        <v>0.20417338446717953</v>
      </c>
      <c r="N12" s="106">
        <v>12537946022</v>
      </c>
      <c r="O12" s="107">
        <v>2931071611</v>
      </c>
      <c r="P12" s="108">
        <f t="shared" si="4"/>
        <v>15469017633</v>
      </c>
      <c r="Q12" s="40">
        <f t="shared" si="5"/>
        <v>0.23265205318188387</v>
      </c>
      <c r="R12" s="106">
        <v>11717502126</v>
      </c>
      <c r="S12" s="108">
        <v>2450774180</v>
      </c>
      <c r="T12" s="108">
        <f t="shared" si="6"/>
        <v>14168276306</v>
      </c>
      <c r="U12" s="40">
        <f t="shared" si="7"/>
        <v>0.2102239581255688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35793484291</v>
      </c>
      <c r="AA12" s="79">
        <f t="shared" si="11"/>
        <v>7419282726</v>
      </c>
      <c r="AB12" s="79">
        <f t="shared" si="12"/>
        <v>43212767017</v>
      </c>
      <c r="AC12" s="40">
        <f t="shared" si="13"/>
        <v>0.6411760137699116</v>
      </c>
      <c r="AD12" s="78">
        <v>10527957741</v>
      </c>
      <c r="AE12" s="79">
        <v>2463781581</v>
      </c>
      <c r="AF12" s="79">
        <f t="shared" si="14"/>
        <v>12991739322</v>
      </c>
      <c r="AG12" s="40">
        <f>IF(61058276099=0,0,40629509163/61058276099)</f>
        <v>0.6654218192653071</v>
      </c>
      <c r="AH12" s="40">
        <f t="shared" si="15"/>
        <v>0.09056039032492524</v>
      </c>
      <c r="AI12" s="12">
        <v>59789358373</v>
      </c>
      <c r="AJ12" s="12">
        <v>61058276099</v>
      </c>
      <c r="AK12" s="12">
        <v>40629509163</v>
      </c>
      <c r="AL12" s="12"/>
    </row>
    <row r="13" spans="1:38" s="13" customFormat="1" ht="12.75">
      <c r="A13" s="29"/>
      <c r="B13" s="38" t="s">
        <v>28</v>
      </c>
      <c r="C13" s="133" t="s">
        <v>29</v>
      </c>
      <c r="D13" s="78">
        <v>14130202337</v>
      </c>
      <c r="E13" s="79">
        <v>5713799722</v>
      </c>
      <c r="F13" s="81">
        <f t="shared" si="0"/>
        <v>19844002059</v>
      </c>
      <c r="G13" s="78">
        <v>13914690293</v>
      </c>
      <c r="H13" s="79">
        <v>6316822319</v>
      </c>
      <c r="I13" s="81">
        <f t="shared" si="1"/>
        <v>20231512612</v>
      </c>
      <c r="J13" s="78">
        <v>2562369237</v>
      </c>
      <c r="K13" s="79">
        <v>595080923</v>
      </c>
      <c r="L13" s="79">
        <f t="shared" si="2"/>
        <v>3157450160</v>
      </c>
      <c r="M13" s="40">
        <f t="shared" si="3"/>
        <v>0.15911357752394395</v>
      </c>
      <c r="N13" s="106">
        <v>2856868960</v>
      </c>
      <c r="O13" s="107">
        <v>1022291238</v>
      </c>
      <c r="P13" s="108">
        <f t="shared" si="4"/>
        <v>3879160198</v>
      </c>
      <c r="Q13" s="40">
        <f t="shared" si="5"/>
        <v>0.19548275526612613</v>
      </c>
      <c r="R13" s="106">
        <v>2605005345</v>
      </c>
      <c r="S13" s="108">
        <v>868093827</v>
      </c>
      <c r="T13" s="108">
        <f t="shared" si="6"/>
        <v>3473099172</v>
      </c>
      <c r="U13" s="40">
        <f t="shared" si="7"/>
        <v>0.1716677956120783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8024243542</v>
      </c>
      <c r="AA13" s="79">
        <f t="shared" si="11"/>
        <v>2485465988</v>
      </c>
      <c r="AB13" s="79">
        <f t="shared" si="12"/>
        <v>10509709530</v>
      </c>
      <c r="AC13" s="40">
        <f t="shared" si="13"/>
        <v>0.5194722575397716</v>
      </c>
      <c r="AD13" s="78">
        <v>2558464462</v>
      </c>
      <c r="AE13" s="79">
        <v>715932375</v>
      </c>
      <c r="AF13" s="79">
        <f t="shared" si="14"/>
        <v>3274396837</v>
      </c>
      <c r="AG13" s="40">
        <f>IF(18781821911=0,0,9436708870/18781821911)</f>
        <v>0.5024384170352066</v>
      </c>
      <c r="AH13" s="40">
        <f t="shared" si="15"/>
        <v>0.06068364492498435</v>
      </c>
      <c r="AI13" s="12">
        <v>18200699604</v>
      </c>
      <c r="AJ13" s="12">
        <v>18781821911</v>
      </c>
      <c r="AK13" s="12">
        <v>9436708870</v>
      </c>
      <c r="AL13" s="12"/>
    </row>
    <row r="14" spans="1:38" s="13" customFormat="1" ht="12.75">
      <c r="A14" s="29"/>
      <c r="B14" s="38" t="s">
        <v>30</v>
      </c>
      <c r="C14" s="133" t="s">
        <v>31</v>
      </c>
      <c r="D14" s="78">
        <v>15439946650</v>
      </c>
      <c r="E14" s="79">
        <v>3054630947</v>
      </c>
      <c r="F14" s="81">
        <f t="shared" si="0"/>
        <v>18494577597</v>
      </c>
      <c r="G14" s="78">
        <v>15754065844</v>
      </c>
      <c r="H14" s="79">
        <v>3559402898</v>
      </c>
      <c r="I14" s="81">
        <f t="shared" si="1"/>
        <v>19313468742</v>
      </c>
      <c r="J14" s="78">
        <v>2854169916</v>
      </c>
      <c r="K14" s="79">
        <v>387708388</v>
      </c>
      <c r="L14" s="79">
        <f t="shared" si="2"/>
        <v>3241878304</v>
      </c>
      <c r="M14" s="40">
        <f t="shared" si="3"/>
        <v>0.17528804250851687</v>
      </c>
      <c r="N14" s="106">
        <v>3440555235</v>
      </c>
      <c r="O14" s="107">
        <v>647082524</v>
      </c>
      <c r="P14" s="108">
        <f t="shared" si="4"/>
        <v>4087637759</v>
      </c>
      <c r="Q14" s="40">
        <f t="shared" si="5"/>
        <v>0.22101817343820032</v>
      </c>
      <c r="R14" s="106">
        <v>3319375712</v>
      </c>
      <c r="S14" s="108">
        <v>580655457</v>
      </c>
      <c r="T14" s="108">
        <f t="shared" si="6"/>
        <v>3900031169</v>
      </c>
      <c r="U14" s="40">
        <f t="shared" si="7"/>
        <v>0.20193323224837412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9614100863</v>
      </c>
      <c r="AA14" s="79">
        <f t="shared" si="11"/>
        <v>1615446369</v>
      </c>
      <c r="AB14" s="79">
        <f t="shared" si="12"/>
        <v>11229547232</v>
      </c>
      <c r="AC14" s="40">
        <f t="shared" si="13"/>
        <v>0.5814360631956126</v>
      </c>
      <c r="AD14" s="78">
        <v>2582607279</v>
      </c>
      <c r="AE14" s="79">
        <v>472989021</v>
      </c>
      <c r="AF14" s="79">
        <f t="shared" si="14"/>
        <v>3055596300</v>
      </c>
      <c r="AG14" s="40">
        <f>IF(16853398266=0,0,9409083975/16853398266)</f>
        <v>0.5582900152535919</v>
      </c>
      <c r="AH14" s="40">
        <f t="shared" si="15"/>
        <v>0.27635681748927365</v>
      </c>
      <c r="AI14" s="12">
        <v>16802921018</v>
      </c>
      <c r="AJ14" s="12">
        <v>16853398266</v>
      </c>
      <c r="AK14" s="12">
        <v>9409083975</v>
      </c>
      <c r="AL14" s="12"/>
    </row>
    <row r="15" spans="1:38" s="13" customFormat="1" ht="12.75">
      <c r="A15" s="29"/>
      <c r="B15" s="38" t="s">
        <v>32</v>
      </c>
      <c r="C15" s="133" t="s">
        <v>33</v>
      </c>
      <c r="D15" s="78">
        <v>14904683075</v>
      </c>
      <c r="E15" s="79">
        <v>3116767033</v>
      </c>
      <c r="F15" s="81">
        <f t="shared" si="0"/>
        <v>18021450108</v>
      </c>
      <c r="G15" s="78">
        <v>15172731837</v>
      </c>
      <c r="H15" s="79">
        <v>3222234258</v>
      </c>
      <c r="I15" s="81">
        <f t="shared" si="1"/>
        <v>18394966095</v>
      </c>
      <c r="J15" s="78">
        <v>3090474902</v>
      </c>
      <c r="K15" s="79">
        <v>433634872</v>
      </c>
      <c r="L15" s="79">
        <f t="shared" si="2"/>
        <v>3524109774</v>
      </c>
      <c r="M15" s="40">
        <f t="shared" si="3"/>
        <v>0.19555084373790727</v>
      </c>
      <c r="N15" s="106">
        <v>3745080378</v>
      </c>
      <c r="O15" s="107">
        <v>630118997</v>
      </c>
      <c r="P15" s="108">
        <f t="shared" si="4"/>
        <v>4375199375</v>
      </c>
      <c r="Q15" s="40">
        <f t="shared" si="5"/>
        <v>0.24277732084710438</v>
      </c>
      <c r="R15" s="106">
        <v>2975182896</v>
      </c>
      <c r="S15" s="108">
        <v>570407589</v>
      </c>
      <c r="T15" s="108">
        <f t="shared" si="6"/>
        <v>3545590485</v>
      </c>
      <c r="U15" s="40">
        <f t="shared" si="7"/>
        <v>0.19274786736158972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9810738176</v>
      </c>
      <c r="AA15" s="79">
        <f t="shared" si="11"/>
        <v>1634161458</v>
      </c>
      <c r="AB15" s="79">
        <f t="shared" si="12"/>
        <v>11444899634</v>
      </c>
      <c r="AC15" s="40">
        <f t="shared" si="13"/>
        <v>0.6221756308162415</v>
      </c>
      <c r="AD15" s="78">
        <v>3043579860</v>
      </c>
      <c r="AE15" s="79">
        <v>521486853</v>
      </c>
      <c r="AF15" s="79">
        <f t="shared" si="14"/>
        <v>3565066713</v>
      </c>
      <c r="AG15" s="40">
        <f>IF(17308935100=0,0,10793568275/17308935100)</f>
        <v>0.6235836123159304</v>
      </c>
      <c r="AH15" s="40">
        <f t="shared" si="15"/>
        <v>-0.00546307532730872</v>
      </c>
      <c r="AI15" s="12">
        <v>16414061876</v>
      </c>
      <c r="AJ15" s="12">
        <v>17308935100</v>
      </c>
      <c r="AK15" s="12">
        <v>10793568275</v>
      </c>
      <c r="AL15" s="12"/>
    </row>
    <row r="16" spans="1:38" s="13" customFormat="1" ht="12.75">
      <c r="A16" s="29"/>
      <c r="B16" s="38" t="s">
        <v>34</v>
      </c>
      <c r="C16" s="133" t="s">
        <v>35</v>
      </c>
      <c r="D16" s="78">
        <v>6294281233</v>
      </c>
      <c r="E16" s="79">
        <v>1288637872</v>
      </c>
      <c r="F16" s="81">
        <f t="shared" si="0"/>
        <v>7582919105</v>
      </c>
      <c r="G16" s="78">
        <v>6410387067</v>
      </c>
      <c r="H16" s="79">
        <v>1112146468</v>
      </c>
      <c r="I16" s="81">
        <f t="shared" si="1"/>
        <v>7522533535</v>
      </c>
      <c r="J16" s="78">
        <v>1332789411</v>
      </c>
      <c r="K16" s="79">
        <v>132884951</v>
      </c>
      <c r="L16" s="79">
        <f t="shared" si="2"/>
        <v>1465674362</v>
      </c>
      <c r="M16" s="40">
        <f t="shared" si="3"/>
        <v>0.19328629802124206</v>
      </c>
      <c r="N16" s="106">
        <v>1198583828</v>
      </c>
      <c r="O16" s="107">
        <v>237186025</v>
      </c>
      <c r="P16" s="108">
        <f t="shared" si="4"/>
        <v>1435769853</v>
      </c>
      <c r="Q16" s="40">
        <f t="shared" si="5"/>
        <v>0.18934263086801056</v>
      </c>
      <c r="R16" s="106">
        <v>1288571396</v>
      </c>
      <c r="S16" s="108">
        <v>185840491</v>
      </c>
      <c r="T16" s="108">
        <f t="shared" si="6"/>
        <v>1474411887</v>
      </c>
      <c r="U16" s="40">
        <f t="shared" si="7"/>
        <v>0.19599937709018136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3819944635</v>
      </c>
      <c r="AA16" s="79">
        <f t="shared" si="11"/>
        <v>555911467</v>
      </c>
      <c r="AB16" s="79">
        <f t="shared" si="12"/>
        <v>4375856102</v>
      </c>
      <c r="AC16" s="40">
        <f t="shared" si="13"/>
        <v>0.581699779953191</v>
      </c>
      <c r="AD16" s="78">
        <v>1122024154</v>
      </c>
      <c r="AE16" s="79">
        <v>161980817</v>
      </c>
      <c r="AF16" s="79">
        <f t="shared" si="14"/>
        <v>1284004971</v>
      </c>
      <c r="AG16" s="40">
        <f>IF(7134623279=0,0,4305820700/7134623279)</f>
        <v>0.6035105893640835</v>
      </c>
      <c r="AH16" s="40">
        <f t="shared" si="15"/>
        <v>0.14829141654467937</v>
      </c>
      <c r="AI16" s="12">
        <v>7071922878</v>
      </c>
      <c r="AJ16" s="12">
        <v>7134623279</v>
      </c>
      <c r="AK16" s="12">
        <v>4305820700</v>
      </c>
      <c r="AL16" s="12"/>
    </row>
    <row r="17" spans="1:38" s="13" customFormat="1" ht="12.75">
      <c r="A17" s="29"/>
      <c r="B17" s="41" t="s">
        <v>36</v>
      </c>
      <c r="C17" s="133" t="s">
        <v>37</v>
      </c>
      <c r="D17" s="78">
        <v>47070715311</v>
      </c>
      <c r="E17" s="79">
        <v>8442519561</v>
      </c>
      <c r="F17" s="81">
        <f t="shared" si="0"/>
        <v>55513234872</v>
      </c>
      <c r="G17" s="78">
        <v>48209495645</v>
      </c>
      <c r="H17" s="79">
        <v>9075099209</v>
      </c>
      <c r="I17" s="81">
        <f t="shared" si="1"/>
        <v>57284594854</v>
      </c>
      <c r="J17" s="78">
        <v>9690234402</v>
      </c>
      <c r="K17" s="79">
        <v>1020337121</v>
      </c>
      <c r="L17" s="79">
        <f t="shared" si="2"/>
        <v>10710571523</v>
      </c>
      <c r="M17" s="40">
        <f t="shared" si="3"/>
        <v>0.19293726167635464</v>
      </c>
      <c r="N17" s="106">
        <v>11196303089</v>
      </c>
      <c r="O17" s="107">
        <v>1636085434</v>
      </c>
      <c r="P17" s="108">
        <f t="shared" si="4"/>
        <v>12832388523</v>
      </c>
      <c r="Q17" s="40">
        <f t="shared" si="5"/>
        <v>0.23115908400201074</v>
      </c>
      <c r="R17" s="106">
        <v>10083330781</v>
      </c>
      <c r="S17" s="108">
        <v>1279213485</v>
      </c>
      <c r="T17" s="108">
        <f t="shared" si="6"/>
        <v>11362544266</v>
      </c>
      <c r="U17" s="40">
        <f t="shared" si="7"/>
        <v>0.19835252906928066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30969868272</v>
      </c>
      <c r="AA17" s="79">
        <f t="shared" si="11"/>
        <v>3935636040</v>
      </c>
      <c r="AB17" s="79">
        <f t="shared" si="12"/>
        <v>34905504312</v>
      </c>
      <c r="AC17" s="40">
        <f t="shared" si="13"/>
        <v>0.609334925052065</v>
      </c>
      <c r="AD17" s="78">
        <v>9197093604</v>
      </c>
      <c r="AE17" s="79">
        <v>1082245496</v>
      </c>
      <c r="AF17" s="79">
        <f t="shared" si="14"/>
        <v>10279339100</v>
      </c>
      <c r="AG17" s="40">
        <f>IF(51707718167=0,0,31399804664/51707718167)</f>
        <v>0.607255662734687</v>
      </c>
      <c r="AH17" s="40">
        <f t="shared" si="15"/>
        <v>0.1053769270049667</v>
      </c>
      <c r="AI17" s="12">
        <v>50148555272</v>
      </c>
      <c r="AJ17" s="12">
        <v>51707718167</v>
      </c>
      <c r="AK17" s="12">
        <v>31399804664</v>
      </c>
      <c r="AL17" s="12"/>
    </row>
    <row r="18" spans="1:38" s="13" customFormat="1" ht="12.75">
      <c r="A18" s="42"/>
      <c r="B18" s="43" t="s">
        <v>652</v>
      </c>
      <c r="C18" s="134"/>
      <c r="D18" s="82">
        <f>SUM(D9:D17)</f>
        <v>306639850770</v>
      </c>
      <c r="E18" s="83">
        <f>SUM(E9:E17)</f>
        <v>66872218522</v>
      </c>
      <c r="F18" s="84">
        <f t="shared" si="0"/>
        <v>373512069292</v>
      </c>
      <c r="G18" s="82">
        <f>SUM(G9:G17)</f>
        <v>309991365502</v>
      </c>
      <c r="H18" s="83">
        <f>SUM(H9:H17)</f>
        <v>67812689958</v>
      </c>
      <c r="I18" s="84">
        <f t="shared" si="1"/>
        <v>377804055460</v>
      </c>
      <c r="J18" s="82">
        <f>SUM(J9:J17)</f>
        <v>66006623912</v>
      </c>
      <c r="K18" s="83">
        <f>SUM(K9:K17)</f>
        <v>8067223756</v>
      </c>
      <c r="L18" s="83">
        <f t="shared" si="2"/>
        <v>74073847668</v>
      </c>
      <c r="M18" s="44">
        <f t="shared" si="3"/>
        <v>0.19831714623950047</v>
      </c>
      <c r="N18" s="109">
        <f>SUM(N9:N17)</f>
        <v>72488508724</v>
      </c>
      <c r="O18" s="110">
        <f>SUM(O9:O17)</f>
        <v>13670857449</v>
      </c>
      <c r="P18" s="111">
        <f t="shared" si="4"/>
        <v>86159366173</v>
      </c>
      <c r="Q18" s="44">
        <f t="shared" si="5"/>
        <v>0.23067357993629736</v>
      </c>
      <c r="R18" s="109">
        <f>SUM(R9:R17)</f>
        <v>65763241562</v>
      </c>
      <c r="S18" s="111">
        <f>SUM(S9:S17)</f>
        <v>10428579377</v>
      </c>
      <c r="T18" s="111">
        <f t="shared" si="6"/>
        <v>76191820939</v>
      </c>
      <c r="U18" s="44">
        <f t="shared" si="7"/>
        <v>0.20167020400623203</v>
      </c>
      <c r="V18" s="109">
        <f>SUM(V9:V17)</f>
        <v>0</v>
      </c>
      <c r="W18" s="111">
        <f>SUM(W9:W17)</f>
        <v>0</v>
      </c>
      <c r="X18" s="111">
        <f t="shared" si="8"/>
        <v>0</v>
      </c>
      <c r="Y18" s="44">
        <f t="shared" si="9"/>
        <v>0</v>
      </c>
      <c r="Z18" s="82">
        <f t="shared" si="10"/>
        <v>204258374198</v>
      </c>
      <c r="AA18" s="83">
        <f t="shared" si="11"/>
        <v>32166660582</v>
      </c>
      <c r="AB18" s="83">
        <f t="shared" si="12"/>
        <v>236425034780</v>
      </c>
      <c r="AC18" s="44">
        <f t="shared" si="13"/>
        <v>0.6257874455374434</v>
      </c>
      <c r="AD18" s="82">
        <f>SUM(AD9:AD17)</f>
        <v>59840046952</v>
      </c>
      <c r="AE18" s="83">
        <f>SUM(AE9:AE17)</f>
        <v>10494934457</v>
      </c>
      <c r="AF18" s="83">
        <f t="shared" si="14"/>
        <v>70334981409</v>
      </c>
      <c r="AG18" s="44">
        <f>IF(51707718167=0,0,31399804664/51707718167)</f>
        <v>0.607255662734687</v>
      </c>
      <c r="AH18" s="44">
        <f t="shared" si="15"/>
        <v>0.0832706487251671</v>
      </c>
      <c r="AI18" s="12">
        <f>SUM(AI9:AI17)</f>
        <v>338935886863</v>
      </c>
      <c r="AJ18" s="12">
        <f>SUM(AJ9:AJ17)</f>
        <v>348187065770</v>
      </c>
      <c r="AK18" s="12">
        <f>SUM(AK9:AK17)</f>
        <v>214606724473</v>
      </c>
      <c r="AL18" s="12"/>
    </row>
    <row r="19" spans="1:38" s="13" customFormat="1" ht="12.75" customHeight="1">
      <c r="A19" s="45"/>
      <c r="B19" s="46"/>
      <c r="C19" s="67"/>
      <c r="D19" s="85"/>
      <c r="E19" s="86"/>
      <c r="F19" s="87"/>
      <c r="G19" s="85"/>
      <c r="H19" s="86"/>
      <c r="I19" s="87"/>
      <c r="J19" s="88"/>
      <c r="K19" s="86"/>
      <c r="L19" s="87"/>
      <c r="M19" s="48"/>
      <c r="N19" s="88"/>
      <c r="O19" s="87"/>
      <c r="P19" s="86"/>
      <c r="Q19" s="48"/>
      <c r="R19" s="88"/>
      <c r="S19" s="86"/>
      <c r="T19" s="86"/>
      <c r="U19" s="48"/>
      <c r="V19" s="88"/>
      <c r="W19" s="86"/>
      <c r="X19" s="86"/>
      <c r="Y19" s="48"/>
      <c r="Z19" s="88"/>
      <c r="AA19" s="86"/>
      <c r="AB19" s="87"/>
      <c r="AC19" s="48"/>
      <c r="AD19" s="88"/>
      <c r="AE19" s="86"/>
      <c r="AF19" s="86"/>
      <c r="AG19" s="48"/>
      <c r="AH19" s="48"/>
      <c r="AI19" s="12"/>
      <c r="AJ19" s="12"/>
      <c r="AK19" s="12"/>
      <c r="AL19" s="12"/>
    </row>
    <row r="20" spans="1:38" s="13" customFormat="1" ht="12.75">
      <c r="A20" s="12"/>
      <c r="B20" s="49"/>
      <c r="C20" s="135"/>
      <c r="D20" s="89"/>
      <c r="E20" s="89"/>
      <c r="F20" s="89"/>
      <c r="G20" s="89"/>
      <c r="H20" s="89"/>
      <c r="I20" s="89"/>
      <c r="J20" s="89"/>
      <c r="K20" s="89"/>
      <c r="L20" s="89"/>
      <c r="M20" s="12"/>
      <c r="N20" s="89"/>
      <c r="O20" s="89"/>
      <c r="P20" s="89"/>
      <c r="Q20" s="12"/>
      <c r="R20" s="89"/>
      <c r="S20" s="89"/>
      <c r="T20" s="89"/>
      <c r="U20" s="12"/>
      <c r="V20" s="89"/>
      <c r="W20" s="89"/>
      <c r="X20" s="89"/>
      <c r="Y20" s="12"/>
      <c r="Z20" s="89"/>
      <c r="AA20" s="89"/>
      <c r="AB20" s="89"/>
      <c r="AC20" s="12"/>
      <c r="AD20" s="89"/>
      <c r="AE20" s="89"/>
      <c r="AF20" s="89"/>
      <c r="AG20" s="12"/>
      <c r="AH20" s="12"/>
      <c r="AI20" s="12"/>
      <c r="AJ20" s="12"/>
      <c r="AK20" s="12"/>
      <c r="AL20" s="12"/>
    </row>
    <row r="21" spans="1:38" ht="12.75">
      <c r="A21" s="2"/>
      <c r="B21" s="2"/>
      <c r="C21" s="131"/>
      <c r="D21" s="90"/>
      <c r="E21" s="90"/>
      <c r="F21" s="90"/>
      <c r="G21" s="90"/>
      <c r="H21" s="90"/>
      <c r="I21" s="90"/>
      <c r="J21" s="90"/>
      <c r="K21" s="90"/>
      <c r="L21" s="90"/>
      <c r="M21" s="2"/>
      <c r="N21" s="90"/>
      <c r="O21" s="90"/>
      <c r="P21" s="90"/>
      <c r="Q21" s="2"/>
      <c r="R21" s="90"/>
      <c r="S21" s="90"/>
      <c r="T21" s="90"/>
      <c r="U21" s="2"/>
      <c r="V21" s="90"/>
      <c r="W21" s="90"/>
      <c r="X21" s="90"/>
      <c r="Y21" s="2"/>
      <c r="Z21" s="90"/>
      <c r="AA21" s="90"/>
      <c r="AB21" s="90"/>
      <c r="AC21" s="2"/>
      <c r="AD21" s="90"/>
      <c r="AE21" s="90"/>
      <c r="AF21" s="90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31"/>
      <c r="D22" s="90"/>
      <c r="E22" s="90"/>
      <c r="F22" s="90"/>
      <c r="G22" s="90"/>
      <c r="H22" s="90"/>
      <c r="I22" s="90"/>
      <c r="J22" s="90"/>
      <c r="K22" s="90"/>
      <c r="L22" s="90"/>
      <c r="M22" s="2"/>
      <c r="N22" s="90"/>
      <c r="O22" s="90"/>
      <c r="P22" s="90"/>
      <c r="Q22" s="2"/>
      <c r="R22" s="90"/>
      <c r="S22" s="90"/>
      <c r="T22" s="90"/>
      <c r="U22" s="2"/>
      <c r="V22" s="90"/>
      <c r="W22" s="90"/>
      <c r="X22" s="90"/>
      <c r="Y22" s="2"/>
      <c r="Z22" s="90"/>
      <c r="AA22" s="90"/>
      <c r="AB22" s="90"/>
      <c r="AC22" s="2"/>
      <c r="AD22" s="90"/>
      <c r="AE22" s="90"/>
      <c r="AF22" s="90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31"/>
      <c r="D23" s="90"/>
      <c r="E23" s="90"/>
      <c r="F23" s="90"/>
      <c r="G23" s="90"/>
      <c r="H23" s="90"/>
      <c r="I23" s="90"/>
      <c r="J23" s="90"/>
      <c r="K23" s="90"/>
      <c r="L23" s="90"/>
      <c r="M23" s="2"/>
      <c r="N23" s="90"/>
      <c r="O23" s="90"/>
      <c r="P23" s="90"/>
      <c r="Q23" s="2"/>
      <c r="R23" s="90"/>
      <c r="S23" s="90"/>
      <c r="T23" s="90"/>
      <c r="U23" s="2"/>
      <c r="V23" s="90"/>
      <c r="W23" s="90"/>
      <c r="X23" s="90"/>
      <c r="Y23" s="2"/>
      <c r="Z23" s="90"/>
      <c r="AA23" s="90"/>
      <c r="AB23" s="90"/>
      <c r="AC23" s="2"/>
      <c r="AD23" s="90"/>
      <c r="AE23" s="90"/>
      <c r="AF23" s="90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31"/>
      <c r="D24" s="90"/>
      <c r="E24" s="90"/>
      <c r="F24" s="90"/>
      <c r="G24" s="90"/>
      <c r="H24" s="90"/>
      <c r="I24" s="90"/>
      <c r="J24" s="90"/>
      <c r="K24" s="90"/>
      <c r="L24" s="90"/>
      <c r="M24" s="2"/>
      <c r="N24" s="90"/>
      <c r="O24" s="90"/>
      <c r="P24" s="90"/>
      <c r="Q24" s="2"/>
      <c r="R24" s="90"/>
      <c r="S24" s="90"/>
      <c r="T24" s="90"/>
      <c r="U24" s="2"/>
      <c r="V24" s="90"/>
      <c r="W24" s="90"/>
      <c r="X24" s="90"/>
      <c r="Y24" s="2"/>
      <c r="Z24" s="90"/>
      <c r="AA24" s="90"/>
      <c r="AB24" s="90"/>
      <c r="AC24" s="2"/>
      <c r="AD24" s="90"/>
      <c r="AE24" s="90"/>
      <c r="AF24" s="90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31"/>
      <c r="D25" s="90"/>
      <c r="E25" s="90"/>
      <c r="F25" s="90"/>
      <c r="G25" s="90"/>
      <c r="H25" s="90"/>
      <c r="I25" s="90"/>
      <c r="J25" s="90"/>
      <c r="K25" s="90"/>
      <c r="L25" s="90"/>
      <c r="M25" s="2"/>
      <c r="N25" s="90"/>
      <c r="O25" s="90"/>
      <c r="P25" s="90"/>
      <c r="Q25" s="2"/>
      <c r="R25" s="90"/>
      <c r="S25" s="90"/>
      <c r="T25" s="90"/>
      <c r="U25" s="2"/>
      <c r="V25" s="90"/>
      <c r="W25" s="90"/>
      <c r="X25" s="90"/>
      <c r="Y25" s="2"/>
      <c r="Z25" s="90"/>
      <c r="AA25" s="90"/>
      <c r="AB25" s="90"/>
      <c r="AC25" s="2"/>
      <c r="AD25" s="90"/>
      <c r="AE25" s="90"/>
      <c r="AF25" s="90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31"/>
      <c r="D26" s="90"/>
      <c r="E26" s="90"/>
      <c r="F26" s="90"/>
      <c r="G26" s="90"/>
      <c r="H26" s="90"/>
      <c r="I26" s="90"/>
      <c r="J26" s="90"/>
      <c r="K26" s="90"/>
      <c r="L26" s="90"/>
      <c r="M26" s="2"/>
      <c r="N26" s="90"/>
      <c r="O26" s="90"/>
      <c r="P26" s="90"/>
      <c r="Q26" s="2"/>
      <c r="R26" s="90"/>
      <c r="S26" s="90"/>
      <c r="T26" s="90"/>
      <c r="U26" s="2"/>
      <c r="V26" s="90"/>
      <c r="W26" s="90"/>
      <c r="X26" s="90"/>
      <c r="Y26" s="2"/>
      <c r="Z26" s="90"/>
      <c r="AA26" s="90"/>
      <c r="AB26" s="90"/>
      <c r="AC26" s="2"/>
      <c r="AD26" s="90"/>
      <c r="AE26" s="90"/>
      <c r="AF26" s="90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31"/>
      <c r="D27" s="90"/>
      <c r="E27" s="90"/>
      <c r="F27" s="90"/>
      <c r="G27" s="90"/>
      <c r="H27" s="90"/>
      <c r="I27" s="90"/>
      <c r="J27" s="90"/>
      <c r="K27" s="90"/>
      <c r="L27" s="90"/>
      <c r="M27" s="2"/>
      <c r="N27" s="90"/>
      <c r="O27" s="90"/>
      <c r="P27" s="90"/>
      <c r="Q27" s="2"/>
      <c r="R27" s="90"/>
      <c r="S27" s="90"/>
      <c r="T27" s="90"/>
      <c r="U27" s="2"/>
      <c r="V27" s="90"/>
      <c r="W27" s="90"/>
      <c r="X27" s="90"/>
      <c r="Y27" s="2"/>
      <c r="Z27" s="90"/>
      <c r="AA27" s="90"/>
      <c r="AB27" s="90"/>
      <c r="AC27" s="2"/>
      <c r="AD27" s="90"/>
      <c r="AE27" s="90"/>
      <c r="AF27" s="90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31"/>
      <c r="D28" s="90"/>
      <c r="E28" s="90"/>
      <c r="F28" s="90"/>
      <c r="G28" s="90"/>
      <c r="H28" s="90"/>
      <c r="I28" s="90"/>
      <c r="J28" s="90"/>
      <c r="K28" s="90"/>
      <c r="L28" s="90"/>
      <c r="M28" s="2"/>
      <c r="N28" s="90"/>
      <c r="O28" s="90"/>
      <c r="P28" s="90"/>
      <c r="Q28" s="2"/>
      <c r="R28" s="90"/>
      <c r="S28" s="90"/>
      <c r="T28" s="90"/>
      <c r="U28" s="2"/>
      <c r="V28" s="90"/>
      <c r="W28" s="90"/>
      <c r="X28" s="90"/>
      <c r="Y28" s="2"/>
      <c r="Z28" s="90"/>
      <c r="AA28" s="90"/>
      <c r="AB28" s="90"/>
      <c r="AC28" s="2"/>
      <c r="AD28" s="90"/>
      <c r="AE28" s="90"/>
      <c r="AF28" s="90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31"/>
      <c r="D29" s="90"/>
      <c r="E29" s="90"/>
      <c r="F29" s="90"/>
      <c r="G29" s="90"/>
      <c r="H29" s="90"/>
      <c r="I29" s="90"/>
      <c r="J29" s="90"/>
      <c r="K29" s="90"/>
      <c r="L29" s="90"/>
      <c r="M29" s="2"/>
      <c r="N29" s="90"/>
      <c r="O29" s="90"/>
      <c r="P29" s="90"/>
      <c r="Q29" s="2"/>
      <c r="R29" s="90"/>
      <c r="S29" s="90"/>
      <c r="T29" s="90"/>
      <c r="U29" s="2"/>
      <c r="V29" s="90"/>
      <c r="W29" s="90"/>
      <c r="X29" s="90"/>
      <c r="Y29" s="2"/>
      <c r="Z29" s="90"/>
      <c r="AA29" s="90"/>
      <c r="AB29" s="90"/>
      <c r="AC29" s="2"/>
      <c r="AD29" s="90"/>
      <c r="AE29" s="90"/>
      <c r="AF29" s="90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31"/>
      <c r="D30" s="90"/>
      <c r="E30" s="90"/>
      <c r="F30" s="90"/>
      <c r="G30" s="90"/>
      <c r="H30" s="90"/>
      <c r="I30" s="90"/>
      <c r="J30" s="90"/>
      <c r="K30" s="90"/>
      <c r="L30" s="90"/>
      <c r="M30" s="2"/>
      <c r="N30" s="90"/>
      <c r="O30" s="90"/>
      <c r="P30" s="90"/>
      <c r="Q30" s="2"/>
      <c r="R30" s="90"/>
      <c r="S30" s="90"/>
      <c r="T30" s="90"/>
      <c r="U30" s="2"/>
      <c r="V30" s="90"/>
      <c r="W30" s="90"/>
      <c r="X30" s="90"/>
      <c r="Y30" s="2"/>
      <c r="Z30" s="90"/>
      <c r="AA30" s="90"/>
      <c r="AB30" s="90"/>
      <c r="AC30" s="2"/>
      <c r="AD30" s="90"/>
      <c r="AE30" s="90"/>
      <c r="AF30" s="90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31"/>
      <c r="D31" s="90"/>
      <c r="E31" s="90"/>
      <c r="F31" s="90"/>
      <c r="G31" s="90"/>
      <c r="H31" s="90"/>
      <c r="I31" s="90"/>
      <c r="J31" s="90"/>
      <c r="K31" s="90"/>
      <c r="L31" s="90"/>
      <c r="M31" s="2"/>
      <c r="N31" s="90"/>
      <c r="O31" s="90"/>
      <c r="P31" s="90"/>
      <c r="Q31" s="2"/>
      <c r="R31" s="90"/>
      <c r="S31" s="90"/>
      <c r="T31" s="90"/>
      <c r="U31" s="2"/>
      <c r="V31" s="90"/>
      <c r="W31" s="90"/>
      <c r="X31" s="90"/>
      <c r="Y31" s="2"/>
      <c r="Z31" s="90"/>
      <c r="AA31" s="90"/>
      <c r="AB31" s="90"/>
      <c r="AC31" s="2"/>
      <c r="AD31" s="90"/>
      <c r="AE31" s="90"/>
      <c r="AF31" s="90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1"/>
      <c r="D32" s="90"/>
      <c r="E32" s="90"/>
      <c r="F32" s="90"/>
      <c r="G32" s="90"/>
      <c r="H32" s="90"/>
      <c r="I32" s="90"/>
      <c r="J32" s="90"/>
      <c r="K32" s="90"/>
      <c r="L32" s="90"/>
      <c r="M32" s="2"/>
      <c r="N32" s="90"/>
      <c r="O32" s="90"/>
      <c r="P32" s="90"/>
      <c r="Q32" s="2"/>
      <c r="R32" s="90"/>
      <c r="S32" s="90"/>
      <c r="T32" s="90"/>
      <c r="U32" s="2"/>
      <c r="V32" s="90"/>
      <c r="W32" s="90"/>
      <c r="X32" s="90"/>
      <c r="Y32" s="2"/>
      <c r="Z32" s="90"/>
      <c r="AA32" s="90"/>
      <c r="AB32" s="90"/>
      <c r="AC32" s="2"/>
      <c r="AD32" s="90"/>
      <c r="AE32" s="90"/>
      <c r="AF32" s="90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1"/>
      <c r="D33" s="90"/>
      <c r="E33" s="90"/>
      <c r="F33" s="90"/>
      <c r="G33" s="90"/>
      <c r="H33" s="90"/>
      <c r="I33" s="90"/>
      <c r="J33" s="90"/>
      <c r="K33" s="90"/>
      <c r="L33" s="90"/>
      <c r="M33" s="2"/>
      <c r="N33" s="90"/>
      <c r="O33" s="90"/>
      <c r="P33" s="90"/>
      <c r="Q33" s="2"/>
      <c r="R33" s="90"/>
      <c r="S33" s="90"/>
      <c r="T33" s="90"/>
      <c r="U33" s="2"/>
      <c r="V33" s="90"/>
      <c r="W33" s="90"/>
      <c r="X33" s="90"/>
      <c r="Y33" s="2"/>
      <c r="Z33" s="90"/>
      <c r="AA33" s="90"/>
      <c r="AB33" s="90"/>
      <c r="AC33" s="2"/>
      <c r="AD33" s="90"/>
      <c r="AE33" s="90"/>
      <c r="AF33" s="90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1"/>
      <c r="D34" s="90"/>
      <c r="E34" s="90"/>
      <c r="F34" s="90"/>
      <c r="G34" s="90"/>
      <c r="H34" s="90"/>
      <c r="I34" s="90"/>
      <c r="J34" s="90"/>
      <c r="K34" s="90"/>
      <c r="L34" s="90"/>
      <c r="M34" s="2"/>
      <c r="N34" s="90"/>
      <c r="O34" s="90"/>
      <c r="P34" s="90"/>
      <c r="Q34" s="2"/>
      <c r="R34" s="90"/>
      <c r="S34" s="90"/>
      <c r="T34" s="90"/>
      <c r="U34" s="2"/>
      <c r="V34" s="90"/>
      <c r="W34" s="90"/>
      <c r="X34" s="90"/>
      <c r="Y34" s="2"/>
      <c r="Z34" s="90"/>
      <c r="AA34" s="90"/>
      <c r="AB34" s="90"/>
      <c r="AC34" s="2"/>
      <c r="AD34" s="90"/>
      <c r="AE34" s="90"/>
      <c r="AF34" s="90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1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90"/>
      <c r="O35" s="90"/>
      <c r="P35" s="90"/>
      <c r="Q35" s="2"/>
      <c r="R35" s="90"/>
      <c r="S35" s="90"/>
      <c r="T35" s="90"/>
      <c r="U35" s="2"/>
      <c r="V35" s="90"/>
      <c r="W35" s="90"/>
      <c r="X35" s="90"/>
      <c r="Y35" s="2"/>
      <c r="Z35" s="90"/>
      <c r="AA35" s="90"/>
      <c r="AB35" s="90"/>
      <c r="AC35" s="2"/>
      <c r="AD35" s="90"/>
      <c r="AE35" s="90"/>
      <c r="AF35" s="90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1"/>
      <c r="D36" s="90"/>
      <c r="E36" s="90"/>
      <c r="F36" s="90"/>
      <c r="G36" s="90"/>
      <c r="H36" s="90"/>
      <c r="I36" s="90"/>
      <c r="J36" s="90"/>
      <c r="K36" s="90"/>
      <c r="L36" s="90"/>
      <c r="M36" s="2"/>
      <c r="N36" s="90"/>
      <c r="O36" s="90"/>
      <c r="P36" s="90"/>
      <c r="Q36" s="2"/>
      <c r="R36" s="90"/>
      <c r="S36" s="90"/>
      <c r="T36" s="90"/>
      <c r="U36" s="2"/>
      <c r="V36" s="90"/>
      <c r="W36" s="90"/>
      <c r="X36" s="90"/>
      <c r="Y36" s="2"/>
      <c r="Z36" s="90"/>
      <c r="AA36" s="90"/>
      <c r="AB36" s="90"/>
      <c r="AC36" s="2"/>
      <c r="AD36" s="90"/>
      <c r="AE36" s="90"/>
      <c r="AF36" s="90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1"/>
      <c r="D37" s="90"/>
      <c r="E37" s="90"/>
      <c r="F37" s="90"/>
      <c r="G37" s="90"/>
      <c r="H37" s="90"/>
      <c r="I37" s="90"/>
      <c r="J37" s="90"/>
      <c r="K37" s="90"/>
      <c r="L37" s="90"/>
      <c r="M37" s="2"/>
      <c r="N37" s="90"/>
      <c r="O37" s="90"/>
      <c r="P37" s="90"/>
      <c r="Q37" s="2"/>
      <c r="R37" s="90"/>
      <c r="S37" s="90"/>
      <c r="T37" s="90"/>
      <c r="U37" s="2"/>
      <c r="V37" s="90"/>
      <c r="W37" s="90"/>
      <c r="X37" s="90"/>
      <c r="Y37" s="2"/>
      <c r="Z37" s="90"/>
      <c r="AA37" s="90"/>
      <c r="AB37" s="90"/>
      <c r="AC37" s="2"/>
      <c r="AD37" s="90"/>
      <c r="AE37" s="90"/>
      <c r="AF37" s="90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1"/>
      <c r="D38" s="90"/>
      <c r="E38" s="90"/>
      <c r="F38" s="90"/>
      <c r="G38" s="90"/>
      <c r="H38" s="90"/>
      <c r="I38" s="90"/>
      <c r="J38" s="90"/>
      <c r="K38" s="90"/>
      <c r="L38" s="90"/>
      <c r="M38" s="2"/>
      <c r="N38" s="90"/>
      <c r="O38" s="90"/>
      <c r="P38" s="90"/>
      <c r="Q38" s="2"/>
      <c r="R38" s="90"/>
      <c r="S38" s="90"/>
      <c r="T38" s="90"/>
      <c r="U38" s="2"/>
      <c r="V38" s="90"/>
      <c r="W38" s="90"/>
      <c r="X38" s="90"/>
      <c r="Y38" s="2"/>
      <c r="Z38" s="90"/>
      <c r="AA38" s="90"/>
      <c r="AB38" s="90"/>
      <c r="AC38" s="2"/>
      <c r="AD38" s="90"/>
      <c r="AE38" s="90"/>
      <c r="AF38" s="90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1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1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1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1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1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1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1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1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1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1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1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1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1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1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1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1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1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1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1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1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1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1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1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1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1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1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1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1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1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1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1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1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1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1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1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1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1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1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1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1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1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1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1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34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1" t="s">
        <v>483</v>
      </c>
      <c r="C9" s="39" t="s">
        <v>484</v>
      </c>
      <c r="D9" s="78">
        <v>163654526</v>
      </c>
      <c r="E9" s="79">
        <v>126383383</v>
      </c>
      <c r="F9" s="80">
        <f>$D9+$E9</f>
        <v>290037909</v>
      </c>
      <c r="G9" s="78">
        <v>163654526</v>
      </c>
      <c r="H9" s="79">
        <v>126383383</v>
      </c>
      <c r="I9" s="81">
        <f>$G9+$H9</f>
        <v>290037909</v>
      </c>
      <c r="J9" s="78">
        <v>33211498</v>
      </c>
      <c r="K9" s="79">
        <v>22073445</v>
      </c>
      <c r="L9" s="79">
        <f>$J9+$K9</f>
        <v>55284943</v>
      </c>
      <c r="M9" s="40">
        <f>IF($F9=0,0,$L9/$F9)</f>
        <v>0.19061281744380526</v>
      </c>
      <c r="N9" s="106">
        <v>45314127</v>
      </c>
      <c r="O9" s="107">
        <v>50000261</v>
      </c>
      <c r="P9" s="108">
        <f>$N9+$O9</f>
        <v>95314388</v>
      </c>
      <c r="Q9" s="40">
        <f>IF($F9=0,0,$P9/$F9)</f>
        <v>0.3286273450550907</v>
      </c>
      <c r="R9" s="106">
        <v>37242391</v>
      </c>
      <c r="S9" s="108">
        <v>26874521</v>
      </c>
      <c r="T9" s="108">
        <f>$R9+$S9</f>
        <v>64116912</v>
      </c>
      <c r="U9" s="40">
        <f>IF($I9=0,0,$T9/$I9)</f>
        <v>0.22106390237422377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115768016</v>
      </c>
      <c r="AA9" s="79">
        <f>$K9+$O9+$S9</f>
        <v>98948227</v>
      </c>
      <c r="AB9" s="79">
        <f>$Z9+$AA9</f>
        <v>214716243</v>
      </c>
      <c r="AC9" s="40">
        <f>IF($I9=0,0,$AB9/$I9)</f>
        <v>0.7403040648731197</v>
      </c>
      <c r="AD9" s="78">
        <v>28680446</v>
      </c>
      <c r="AE9" s="79">
        <v>26970842</v>
      </c>
      <c r="AF9" s="79">
        <f>$AD9+$AE9</f>
        <v>55651288</v>
      </c>
      <c r="AG9" s="40">
        <f>IF(252909980=0,0,185818547/252909980)</f>
        <v>0.7347220817462403</v>
      </c>
      <c r="AH9" s="40">
        <f>IF($AF9=0,0,(($T9/$AF9)-1))</f>
        <v>0.15211910279596763</v>
      </c>
      <c r="AI9" s="12">
        <v>242368512</v>
      </c>
      <c r="AJ9" s="12">
        <v>252909980</v>
      </c>
      <c r="AK9" s="12">
        <v>185818547</v>
      </c>
      <c r="AL9" s="12"/>
    </row>
    <row r="10" spans="1:38" s="13" customFormat="1" ht="12.75">
      <c r="A10" s="29" t="s">
        <v>95</v>
      </c>
      <c r="B10" s="61" t="s">
        <v>485</v>
      </c>
      <c r="C10" s="39" t="s">
        <v>486</v>
      </c>
      <c r="D10" s="78">
        <v>319485845</v>
      </c>
      <c r="E10" s="79">
        <v>140031000</v>
      </c>
      <c r="F10" s="81">
        <f aca="true" t="shared" si="0" ref="F10:F46">$D10+$E10</f>
        <v>459516845</v>
      </c>
      <c r="G10" s="78">
        <v>322333927</v>
      </c>
      <c r="H10" s="79">
        <v>137926001</v>
      </c>
      <c r="I10" s="81">
        <f aca="true" t="shared" si="1" ref="I10:I46">$G10+$H10</f>
        <v>460259928</v>
      </c>
      <c r="J10" s="78">
        <v>62452073</v>
      </c>
      <c r="K10" s="79">
        <v>25835156</v>
      </c>
      <c r="L10" s="79">
        <f aca="true" t="shared" si="2" ref="L10:L46">$J10+$K10</f>
        <v>88287229</v>
      </c>
      <c r="M10" s="40">
        <f aca="true" t="shared" si="3" ref="M10:M46">IF($F10=0,0,$L10/$F10)</f>
        <v>0.1921305605238476</v>
      </c>
      <c r="N10" s="106">
        <v>92007694</v>
      </c>
      <c r="O10" s="107">
        <v>38690497</v>
      </c>
      <c r="P10" s="108">
        <f aca="true" t="shared" si="4" ref="P10:P46">$N10+$O10</f>
        <v>130698191</v>
      </c>
      <c r="Q10" s="40">
        <f aca="true" t="shared" si="5" ref="Q10:Q46">IF($F10=0,0,$P10/$F10)</f>
        <v>0.2844252445195997</v>
      </c>
      <c r="R10" s="106">
        <v>159495301</v>
      </c>
      <c r="S10" s="108">
        <v>32972600</v>
      </c>
      <c r="T10" s="108">
        <f aca="true" t="shared" si="6" ref="T10:T46">$R10+$S10</f>
        <v>192467901</v>
      </c>
      <c r="U10" s="40">
        <f aca="true" t="shared" si="7" ref="U10:U46">IF($I10=0,0,$T10/$I10)</f>
        <v>0.4181721876947758</v>
      </c>
      <c r="V10" s="106">
        <v>0</v>
      </c>
      <c r="W10" s="108">
        <v>0</v>
      </c>
      <c r="X10" s="108">
        <f aca="true" t="shared" si="8" ref="X10:X46">$V10+$W10</f>
        <v>0</v>
      </c>
      <c r="Y10" s="40">
        <f aca="true" t="shared" si="9" ref="Y10:Y46">IF($I10=0,0,$X10/$I10)</f>
        <v>0</v>
      </c>
      <c r="Z10" s="78">
        <f aca="true" t="shared" si="10" ref="Z10:Z46">$J10+$N10+$R10</f>
        <v>313955068</v>
      </c>
      <c r="AA10" s="79">
        <f aca="true" t="shared" si="11" ref="AA10:AA46">$K10+$O10+$S10</f>
        <v>97498253</v>
      </c>
      <c r="AB10" s="79">
        <f aca="true" t="shared" si="12" ref="AB10:AB46">$Z10+$AA10</f>
        <v>411453321</v>
      </c>
      <c r="AC10" s="40">
        <f aca="true" t="shared" si="13" ref="AC10:AC46">IF($I10=0,0,$AB10/$I10)</f>
        <v>0.8939586002803181</v>
      </c>
      <c r="AD10" s="78">
        <v>55568489</v>
      </c>
      <c r="AE10" s="79">
        <v>8893446</v>
      </c>
      <c r="AF10" s="79">
        <f aca="true" t="shared" si="14" ref="AF10:AF46">$AD10+$AE10</f>
        <v>64461935</v>
      </c>
      <c r="AG10" s="40">
        <f>IF(419743005=0,0,244852386/419743005)</f>
        <v>0.5833388122811004</v>
      </c>
      <c r="AH10" s="40">
        <f aca="true" t="shared" si="15" ref="AH10:AH46">IF($AF10=0,0,(($T10/$AF10)-1))</f>
        <v>1.9857605267356617</v>
      </c>
      <c r="AI10" s="12">
        <v>422705704</v>
      </c>
      <c r="AJ10" s="12">
        <v>419743005</v>
      </c>
      <c r="AK10" s="12">
        <v>244852386</v>
      </c>
      <c r="AL10" s="12"/>
    </row>
    <row r="11" spans="1:38" s="13" customFormat="1" ht="12.75">
      <c r="A11" s="29" t="s">
        <v>95</v>
      </c>
      <c r="B11" s="61" t="s">
        <v>487</v>
      </c>
      <c r="C11" s="39" t="s">
        <v>488</v>
      </c>
      <c r="D11" s="78">
        <v>466989497</v>
      </c>
      <c r="E11" s="79">
        <v>350160555</v>
      </c>
      <c r="F11" s="80">
        <f t="shared" si="0"/>
        <v>817150052</v>
      </c>
      <c r="G11" s="78">
        <v>490489059</v>
      </c>
      <c r="H11" s="79">
        <v>104340600</v>
      </c>
      <c r="I11" s="81">
        <f t="shared" si="1"/>
        <v>594829659</v>
      </c>
      <c r="J11" s="78">
        <v>73957198</v>
      </c>
      <c r="K11" s="79">
        <v>11118760</v>
      </c>
      <c r="L11" s="79">
        <f t="shared" si="2"/>
        <v>85075958</v>
      </c>
      <c r="M11" s="40">
        <f t="shared" si="3"/>
        <v>0.10411301791118285</v>
      </c>
      <c r="N11" s="106">
        <v>20484372</v>
      </c>
      <c r="O11" s="107">
        <v>3738523</v>
      </c>
      <c r="P11" s="108">
        <f t="shared" si="4"/>
        <v>24222895</v>
      </c>
      <c r="Q11" s="40">
        <f t="shared" si="5"/>
        <v>0.02964314196727237</v>
      </c>
      <c r="R11" s="106">
        <v>57331826</v>
      </c>
      <c r="S11" s="108">
        <v>579377</v>
      </c>
      <c r="T11" s="108">
        <f t="shared" si="6"/>
        <v>57911203</v>
      </c>
      <c r="U11" s="40">
        <f t="shared" si="7"/>
        <v>0.09735762520207487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151773396</v>
      </c>
      <c r="AA11" s="79">
        <f t="shared" si="11"/>
        <v>15436660</v>
      </c>
      <c r="AB11" s="79">
        <f t="shared" si="12"/>
        <v>167210056</v>
      </c>
      <c r="AC11" s="40">
        <f t="shared" si="13"/>
        <v>0.2811057812435005</v>
      </c>
      <c r="AD11" s="78">
        <v>71794677</v>
      </c>
      <c r="AE11" s="79">
        <v>9527020</v>
      </c>
      <c r="AF11" s="79">
        <f t="shared" si="14"/>
        <v>81321697</v>
      </c>
      <c r="AG11" s="40">
        <f>IF(546458319=0,0,273856921/546458319)</f>
        <v>0.5011487820354694</v>
      </c>
      <c r="AH11" s="40">
        <f t="shared" si="15"/>
        <v>-0.2878751288232463</v>
      </c>
      <c r="AI11" s="12">
        <v>719646597</v>
      </c>
      <c r="AJ11" s="12">
        <v>546458319</v>
      </c>
      <c r="AK11" s="12">
        <v>273856921</v>
      </c>
      <c r="AL11" s="12"/>
    </row>
    <row r="12" spans="1:38" s="13" customFormat="1" ht="12.75">
      <c r="A12" s="29" t="s">
        <v>114</v>
      </c>
      <c r="B12" s="61" t="s">
        <v>489</v>
      </c>
      <c r="C12" s="39" t="s">
        <v>490</v>
      </c>
      <c r="D12" s="78">
        <v>99529000</v>
      </c>
      <c r="E12" s="79">
        <v>1204000</v>
      </c>
      <c r="F12" s="80">
        <f t="shared" si="0"/>
        <v>100733000</v>
      </c>
      <c r="G12" s="78">
        <v>108456059</v>
      </c>
      <c r="H12" s="79">
        <v>33000</v>
      </c>
      <c r="I12" s="81">
        <f t="shared" si="1"/>
        <v>108489059</v>
      </c>
      <c r="J12" s="78">
        <v>19884192</v>
      </c>
      <c r="K12" s="79">
        <v>5116</v>
      </c>
      <c r="L12" s="79">
        <f t="shared" si="2"/>
        <v>19889308</v>
      </c>
      <c r="M12" s="40">
        <f t="shared" si="3"/>
        <v>0.19744580226936556</v>
      </c>
      <c r="N12" s="106">
        <v>38271974</v>
      </c>
      <c r="O12" s="107">
        <v>366561</v>
      </c>
      <c r="P12" s="108">
        <f t="shared" si="4"/>
        <v>38638535</v>
      </c>
      <c r="Q12" s="40">
        <f t="shared" si="5"/>
        <v>0.3835737543803917</v>
      </c>
      <c r="R12" s="106">
        <v>15691065</v>
      </c>
      <c r="S12" s="108">
        <v>0</v>
      </c>
      <c r="T12" s="108">
        <f t="shared" si="6"/>
        <v>15691065</v>
      </c>
      <c r="U12" s="40">
        <f t="shared" si="7"/>
        <v>0.1446326951734368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73847231</v>
      </c>
      <c r="AA12" s="79">
        <f t="shared" si="11"/>
        <v>371677</v>
      </c>
      <c r="AB12" s="79">
        <f t="shared" si="12"/>
        <v>74218908</v>
      </c>
      <c r="AC12" s="40">
        <f t="shared" si="13"/>
        <v>0.6841142202182803</v>
      </c>
      <c r="AD12" s="78">
        <v>19099468</v>
      </c>
      <c r="AE12" s="79">
        <v>231432</v>
      </c>
      <c r="AF12" s="79">
        <f t="shared" si="14"/>
        <v>19330900</v>
      </c>
      <c r="AG12" s="40">
        <f>IF(106065000=0,0,62521973/106065000)</f>
        <v>0.5894684674492057</v>
      </c>
      <c r="AH12" s="40">
        <f t="shared" si="15"/>
        <v>-0.1882910262843427</v>
      </c>
      <c r="AI12" s="12">
        <v>105442000</v>
      </c>
      <c r="AJ12" s="12">
        <v>106065000</v>
      </c>
      <c r="AK12" s="12">
        <v>62521973</v>
      </c>
      <c r="AL12" s="12"/>
    </row>
    <row r="13" spans="1:38" s="57" customFormat="1" ht="12.75">
      <c r="A13" s="62"/>
      <c r="B13" s="63" t="s">
        <v>491</v>
      </c>
      <c r="C13" s="32"/>
      <c r="D13" s="82">
        <f>SUM(D9:D12)</f>
        <v>1049658868</v>
      </c>
      <c r="E13" s="83">
        <f>SUM(E9:E12)</f>
        <v>617778938</v>
      </c>
      <c r="F13" s="91">
        <f t="shared" si="0"/>
        <v>1667437806</v>
      </c>
      <c r="G13" s="82">
        <f>SUM(G9:G12)</f>
        <v>1084933571</v>
      </c>
      <c r="H13" s="83">
        <f>SUM(H9:H12)</f>
        <v>368682984</v>
      </c>
      <c r="I13" s="84">
        <f t="shared" si="1"/>
        <v>1453616555</v>
      </c>
      <c r="J13" s="82">
        <f>SUM(J9:J12)</f>
        <v>189504961</v>
      </c>
      <c r="K13" s="83">
        <f>SUM(K9:K12)</f>
        <v>59032477</v>
      </c>
      <c r="L13" s="83">
        <f t="shared" si="2"/>
        <v>248537438</v>
      </c>
      <c r="M13" s="44">
        <f t="shared" si="3"/>
        <v>0.14905349819086447</v>
      </c>
      <c r="N13" s="112">
        <f>SUM(N9:N12)</f>
        <v>196078167</v>
      </c>
      <c r="O13" s="113">
        <f>SUM(O9:O12)</f>
        <v>92795842</v>
      </c>
      <c r="P13" s="114">
        <f t="shared" si="4"/>
        <v>288874009</v>
      </c>
      <c r="Q13" s="44">
        <f t="shared" si="5"/>
        <v>0.17324424812759703</v>
      </c>
      <c r="R13" s="112">
        <f>SUM(R9:R12)</f>
        <v>269760583</v>
      </c>
      <c r="S13" s="114">
        <f>SUM(S9:S12)</f>
        <v>60426498</v>
      </c>
      <c r="T13" s="114">
        <f t="shared" si="6"/>
        <v>330187081</v>
      </c>
      <c r="U13" s="44">
        <f t="shared" si="7"/>
        <v>0.22714867952229673</v>
      </c>
      <c r="V13" s="112">
        <f>SUM(V9:V12)</f>
        <v>0</v>
      </c>
      <c r="W13" s="114">
        <f>SUM(W9:W12)</f>
        <v>0</v>
      </c>
      <c r="X13" s="114">
        <f t="shared" si="8"/>
        <v>0</v>
      </c>
      <c r="Y13" s="44">
        <f t="shared" si="9"/>
        <v>0</v>
      </c>
      <c r="Z13" s="82">
        <f t="shared" si="10"/>
        <v>655343711</v>
      </c>
      <c r="AA13" s="83">
        <f t="shared" si="11"/>
        <v>212254817</v>
      </c>
      <c r="AB13" s="83">
        <f t="shared" si="12"/>
        <v>867598528</v>
      </c>
      <c r="AC13" s="44">
        <f t="shared" si="13"/>
        <v>0.5968551507037563</v>
      </c>
      <c r="AD13" s="82">
        <f>SUM(AD9:AD12)</f>
        <v>175143080</v>
      </c>
      <c r="AE13" s="83">
        <f>SUM(AE9:AE12)</f>
        <v>45622740</v>
      </c>
      <c r="AF13" s="83">
        <f t="shared" si="14"/>
        <v>220765820</v>
      </c>
      <c r="AG13" s="44">
        <f>IF(106065000=0,0,62521973/106065000)</f>
        <v>0.5894684674492057</v>
      </c>
      <c r="AH13" s="44">
        <f t="shared" si="15"/>
        <v>0.49564403130883217</v>
      </c>
      <c r="AI13" s="64">
        <f>SUM(AI9:AI12)</f>
        <v>1490162813</v>
      </c>
      <c r="AJ13" s="64">
        <f>SUM(AJ9:AJ12)</f>
        <v>1325176304</v>
      </c>
      <c r="AK13" s="64">
        <f>SUM(AK9:AK12)</f>
        <v>767049827</v>
      </c>
      <c r="AL13" s="64"/>
    </row>
    <row r="14" spans="1:38" s="13" customFormat="1" ht="12.75">
      <c r="A14" s="29" t="s">
        <v>95</v>
      </c>
      <c r="B14" s="61" t="s">
        <v>492</v>
      </c>
      <c r="C14" s="39" t="s">
        <v>493</v>
      </c>
      <c r="D14" s="78">
        <v>60315745</v>
      </c>
      <c r="E14" s="79">
        <v>16409000</v>
      </c>
      <c r="F14" s="80">
        <f t="shared" si="0"/>
        <v>76724745</v>
      </c>
      <c r="G14" s="78">
        <v>62538041</v>
      </c>
      <c r="H14" s="79">
        <v>10052884</v>
      </c>
      <c r="I14" s="81">
        <f t="shared" si="1"/>
        <v>72590925</v>
      </c>
      <c r="J14" s="78">
        <v>10465712</v>
      </c>
      <c r="K14" s="79">
        <v>591276</v>
      </c>
      <c r="L14" s="79">
        <f t="shared" si="2"/>
        <v>11056988</v>
      </c>
      <c r="M14" s="40">
        <f t="shared" si="3"/>
        <v>0.14411241119146112</v>
      </c>
      <c r="N14" s="106">
        <v>9478386</v>
      </c>
      <c r="O14" s="107">
        <v>681118</v>
      </c>
      <c r="P14" s="108">
        <f t="shared" si="4"/>
        <v>10159504</v>
      </c>
      <c r="Q14" s="40">
        <f t="shared" si="5"/>
        <v>0.132414959476242</v>
      </c>
      <c r="R14" s="106">
        <v>9950304</v>
      </c>
      <c r="S14" s="108">
        <v>2398259</v>
      </c>
      <c r="T14" s="108">
        <f t="shared" si="6"/>
        <v>12348563</v>
      </c>
      <c r="U14" s="40">
        <f t="shared" si="7"/>
        <v>0.17011166340696168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29894402</v>
      </c>
      <c r="AA14" s="79">
        <f t="shared" si="11"/>
        <v>3670653</v>
      </c>
      <c r="AB14" s="79">
        <f t="shared" si="12"/>
        <v>33565055</v>
      </c>
      <c r="AC14" s="40">
        <f t="shared" si="13"/>
        <v>0.4623863795646632</v>
      </c>
      <c r="AD14" s="78">
        <v>14140891</v>
      </c>
      <c r="AE14" s="79">
        <v>2492525</v>
      </c>
      <c r="AF14" s="79">
        <f t="shared" si="14"/>
        <v>16633416</v>
      </c>
      <c r="AG14" s="40">
        <f>IF(81192124=0,0,38035491/81192124)</f>
        <v>0.46846281543268903</v>
      </c>
      <c r="AH14" s="40">
        <f t="shared" si="15"/>
        <v>-0.25760511250364926</v>
      </c>
      <c r="AI14" s="12">
        <v>94784285</v>
      </c>
      <c r="AJ14" s="12">
        <v>81192124</v>
      </c>
      <c r="AK14" s="12">
        <v>38035491</v>
      </c>
      <c r="AL14" s="12"/>
    </row>
    <row r="15" spans="1:38" s="13" customFormat="1" ht="12.75">
      <c r="A15" s="29" t="s">
        <v>95</v>
      </c>
      <c r="B15" s="61" t="s">
        <v>494</v>
      </c>
      <c r="C15" s="39" t="s">
        <v>495</v>
      </c>
      <c r="D15" s="78">
        <v>288050453</v>
      </c>
      <c r="E15" s="79">
        <v>30911055</v>
      </c>
      <c r="F15" s="80">
        <f t="shared" si="0"/>
        <v>318961508</v>
      </c>
      <c r="G15" s="78">
        <v>274195759</v>
      </c>
      <c r="H15" s="79">
        <v>23324654</v>
      </c>
      <c r="I15" s="81">
        <f t="shared" si="1"/>
        <v>297520413</v>
      </c>
      <c r="J15" s="78">
        <v>59329595</v>
      </c>
      <c r="K15" s="79">
        <v>1934326</v>
      </c>
      <c r="L15" s="79">
        <f t="shared" si="2"/>
        <v>61263921</v>
      </c>
      <c r="M15" s="40">
        <f t="shared" si="3"/>
        <v>0.19207308550848712</v>
      </c>
      <c r="N15" s="106">
        <v>50317417</v>
      </c>
      <c r="O15" s="107">
        <v>9693364</v>
      </c>
      <c r="P15" s="108">
        <f t="shared" si="4"/>
        <v>60010781</v>
      </c>
      <c r="Q15" s="40">
        <f t="shared" si="5"/>
        <v>0.1881442728819805</v>
      </c>
      <c r="R15" s="106">
        <v>51662672</v>
      </c>
      <c r="S15" s="108">
        <v>1910655</v>
      </c>
      <c r="T15" s="108">
        <f t="shared" si="6"/>
        <v>53573327</v>
      </c>
      <c r="U15" s="40">
        <f t="shared" si="7"/>
        <v>0.18006605482898413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161309684</v>
      </c>
      <c r="AA15" s="79">
        <f t="shared" si="11"/>
        <v>13538345</v>
      </c>
      <c r="AB15" s="79">
        <f t="shared" si="12"/>
        <v>174848029</v>
      </c>
      <c r="AC15" s="40">
        <f t="shared" si="13"/>
        <v>0.5876841432053269</v>
      </c>
      <c r="AD15" s="78">
        <v>51564563</v>
      </c>
      <c r="AE15" s="79">
        <v>2386853</v>
      </c>
      <c r="AF15" s="79">
        <f t="shared" si="14"/>
        <v>53951416</v>
      </c>
      <c r="AG15" s="40">
        <f>IF(274639353=0,0,165677249/274639353)</f>
        <v>0.6032538570683277</v>
      </c>
      <c r="AH15" s="40">
        <f t="shared" si="15"/>
        <v>-0.00700795322962422</v>
      </c>
      <c r="AI15" s="12">
        <v>226773963</v>
      </c>
      <c r="AJ15" s="12">
        <v>274639353</v>
      </c>
      <c r="AK15" s="12">
        <v>165677249</v>
      </c>
      <c r="AL15" s="12"/>
    </row>
    <row r="16" spans="1:38" s="13" customFormat="1" ht="12.75">
      <c r="A16" s="29" t="s">
        <v>95</v>
      </c>
      <c r="B16" s="61" t="s">
        <v>496</v>
      </c>
      <c r="C16" s="39" t="s">
        <v>497</v>
      </c>
      <c r="D16" s="78">
        <v>54106083</v>
      </c>
      <c r="E16" s="79">
        <v>7960000</v>
      </c>
      <c r="F16" s="80">
        <f t="shared" si="0"/>
        <v>62066083</v>
      </c>
      <c r="G16" s="78">
        <v>52253083</v>
      </c>
      <c r="H16" s="79">
        <v>9016000</v>
      </c>
      <c r="I16" s="81">
        <f t="shared" si="1"/>
        <v>61269083</v>
      </c>
      <c r="J16" s="78">
        <v>9082464</v>
      </c>
      <c r="K16" s="79">
        <v>885331</v>
      </c>
      <c r="L16" s="79">
        <f t="shared" si="2"/>
        <v>9967795</v>
      </c>
      <c r="M16" s="40">
        <f t="shared" si="3"/>
        <v>0.16059971111758414</v>
      </c>
      <c r="N16" s="106">
        <v>6868361</v>
      </c>
      <c r="O16" s="107">
        <v>1045716</v>
      </c>
      <c r="P16" s="108">
        <f t="shared" si="4"/>
        <v>7914077</v>
      </c>
      <c r="Q16" s="40">
        <f t="shared" si="5"/>
        <v>0.12751049554714125</v>
      </c>
      <c r="R16" s="106">
        <v>9356885</v>
      </c>
      <c r="S16" s="108">
        <v>532453</v>
      </c>
      <c r="T16" s="108">
        <f t="shared" si="6"/>
        <v>9889338</v>
      </c>
      <c r="U16" s="40">
        <f t="shared" si="7"/>
        <v>0.16140829135634363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25307710</v>
      </c>
      <c r="AA16" s="79">
        <f t="shared" si="11"/>
        <v>2463500</v>
      </c>
      <c r="AB16" s="79">
        <f t="shared" si="12"/>
        <v>27771210</v>
      </c>
      <c r="AC16" s="40">
        <f t="shared" si="13"/>
        <v>0.45326629092849324</v>
      </c>
      <c r="AD16" s="78">
        <v>6767266</v>
      </c>
      <c r="AE16" s="79">
        <v>1433026</v>
      </c>
      <c r="AF16" s="79">
        <f t="shared" si="14"/>
        <v>8200292</v>
      </c>
      <c r="AG16" s="40">
        <f>IF(46311240=0,0,33277518/46311240)</f>
        <v>0.7185624483386754</v>
      </c>
      <c r="AH16" s="40">
        <f t="shared" si="15"/>
        <v>0.20597388483239376</v>
      </c>
      <c r="AI16" s="12">
        <v>46373000</v>
      </c>
      <c r="AJ16" s="12">
        <v>46311240</v>
      </c>
      <c r="AK16" s="12">
        <v>33277518</v>
      </c>
      <c r="AL16" s="12"/>
    </row>
    <row r="17" spans="1:38" s="13" customFormat="1" ht="12.75">
      <c r="A17" s="29" t="s">
        <v>95</v>
      </c>
      <c r="B17" s="61" t="s">
        <v>498</v>
      </c>
      <c r="C17" s="39" t="s">
        <v>499</v>
      </c>
      <c r="D17" s="78">
        <v>85856764</v>
      </c>
      <c r="E17" s="79">
        <v>26473809</v>
      </c>
      <c r="F17" s="80">
        <f t="shared" si="0"/>
        <v>112330573</v>
      </c>
      <c r="G17" s="78">
        <v>87029342</v>
      </c>
      <c r="H17" s="79">
        <v>26823000</v>
      </c>
      <c r="I17" s="81">
        <f t="shared" si="1"/>
        <v>113852342</v>
      </c>
      <c r="J17" s="78">
        <v>16700734</v>
      </c>
      <c r="K17" s="79">
        <v>2038657</v>
      </c>
      <c r="L17" s="79">
        <f t="shared" si="2"/>
        <v>18739391</v>
      </c>
      <c r="M17" s="40">
        <f t="shared" si="3"/>
        <v>0.16682360375745614</v>
      </c>
      <c r="N17" s="106">
        <v>21699872</v>
      </c>
      <c r="O17" s="107">
        <v>4822692</v>
      </c>
      <c r="P17" s="108">
        <f t="shared" si="4"/>
        <v>26522564</v>
      </c>
      <c r="Q17" s="40">
        <f t="shared" si="5"/>
        <v>0.23611171288158567</v>
      </c>
      <c r="R17" s="106">
        <v>15686070</v>
      </c>
      <c r="S17" s="108">
        <v>4298963</v>
      </c>
      <c r="T17" s="108">
        <f t="shared" si="6"/>
        <v>19985033</v>
      </c>
      <c r="U17" s="40">
        <f t="shared" si="7"/>
        <v>0.1755346675257677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54086676</v>
      </c>
      <c r="AA17" s="79">
        <f t="shared" si="11"/>
        <v>11160312</v>
      </c>
      <c r="AB17" s="79">
        <f t="shared" si="12"/>
        <v>65246988</v>
      </c>
      <c r="AC17" s="40">
        <f t="shared" si="13"/>
        <v>0.5730842849064975</v>
      </c>
      <c r="AD17" s="78">
        <v>18438863</v>
      </c>
      <c r="AE17" s="79">
        <v>1867650</v>
      </c>
      <c r="AF17" s="79">
        <f t="shared" si="14"/>
        <v>20306513</v>
      </c>
      <c r="AG17" s="40">
        <f>IF(105885920=0,0,65630231/105885920)</f>
        <v>0.6198201895020603</v>
      </c>
      <c r="AH17" s="40">
        <f t="shared" si="15"/>
        <v>-0.015831373904520163</v>
      </c>
      <c r="AI17" s="12">
        <v>99059958</v>
      </c>
      <c r="AJ17" s="12">
        <v>105885920</v>
      </c>
      <c r="AK17" s="12">
        <v>65630231</v>
      </c>
      <c r="AL17" s="12"/>
    </row>
    <row r="18" spans="1:38" s="13" customFormat="1" ht="12.75">
      <c r="A18" s="29" t="s">
        <v>95</v>
      </c>
      <c r="B18" s="61" t="s">
        <v>500</v>
      </c>
      <c r="C18" s="39" t="s">
        <v>501</v>
      </c>
      <c r="D18" s="78">
        <v>47923564</v>
      </c>
      <c r="E18" s="79">
        <v>8005000</v>
      </c>
      <c r="F18" s="80">
        <f t="shared" si="0"/>
        <v>55928564</v>
      </c>
      <c r="G18" s="78">
        <v>47923564</v>
      </c>
      <c r="H18" s="79">
        <v>11005000</v>
      </c>
      <c r="I18" s="81">
        <f t="shared" si="1"/>
        <v>58928564</v>
      </c>
      <c r="J18" s="78">
        <v>8645311</v>
      </c>
      <c r="K18" s="79">
        <v>0</v>
      </c>
      <c r="L18" s="79">
        <f t="shared" si="2"/>
        <v>8645311</v>
      </c>
      <c r="M18" s="40">
        <f t="shared" si="3"/>
        <v>0.15457773956077256</v>
      </c>
      <c r="N18" s="106">
        <v>9696181</v>
      </c>
      <c r="O18" s="107">
        <v>1041205</v>
      </c>
      <c r="P18" s="108">
        <f t="shared" si="4"/>
        <v>10737386</v>
      </c>
      <c r="Q18" s="40">
        <f t="shared" si="5"/>
        <v>0.19198393865431623</v>
      </c>
      <c r="R18" s="106">
        <v>9093537</v>
      </c>
      <c r="S18" s="108">
        <v>3495658</v>
      </c>
      <c r="T18" s="108">
        <f t="shared" si="6"/>
        <v>12589195</v>
      </c>
      <c r="U18" s="40">
        <f t="shared" si="7"/>
        <v>0.21363485117336306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27435029</v>
      </c>
      <c r="AA18" s="79">
        <f t="shared" si="11"/>
        <v>4536863</v>
      </c>
      <c r="AB18" s="79">
        <f t="shared" si="12"/>
        <v>31971892</v>
      </c>
      <c r="AC18" s="40">
        <f t="shared" si="13"/>
        <v>0.5425533871824876</v>
      </c>
      <c r="AD18" s="78">
        <v>13364866</v>
      </c>
      <c r="AE18" s="79">
        <v>992739</v>
      </c>
      <c r="AF18" s="79">
        <f t="shared" si="14"/>
        <v>14357605</v>
      </c>
      <c r="AG18" s="40">
        <f>IF(63577250=0,0,41635470/63577250)</f>
        <v>0.6548800081790263</v>
      </c>
      <c r="AH18" s="40">
        <f t="shared" si="15"/>
        <v>-0.1231688711313621</v>
      </c>
      <c r="AI18" s="12">
        <v>63577250</v>
      </c>
      <c r="AJ18" s="12">
        <v>63577250</v>
      </c>
      <c r="AK18" s="12">
        <v>41635470</v>
      </c>
      <c r="AL18" s="12"/>
    </row>
    <row r="19" spans="1:38" s="13" customFormat="1" ht="12.75">
      <c r="A19" s="29" t="s">
        <v>95</v>
      </c>
      <c r="B19" s="61" t="s">
        <v>502</v>
      </c>
      <c r="C19" s="39" t="s">
        <v>503</v>
      </c>
      <c r="D19" s="78">
        <v>56194436</v>
      </c>
      <c r="E19" s="79">
        <v>8343860</v>
      </c>
      <c r="F19" s="80">
        <f t="shared" si="0"/>
        <v>64538296</v>
      </c>
      <c r="G19" s="78">
        <v>58870034</v>
      </c>
      <c r="H19" s="79">
        <v>7706360</v>
      </c>
      <c r="I19" s="81">
        <f t="shared" si="1"/>
        <v>66576394</v>
      </c>
      <c r="J19" s="78">
        <v>6377332</v>
      </c>
      <c r="K19" s="79">
        <v>0</v>
      </c>
      <c r="L19" s="79">
        <f t="shared" si="2"/>
        <v>6377332</v>
      </c>
      <c r="M19" s="40">
        <f t="shared" si="3"/>
        <v>0.09881469445676098</v>
      </c>
      <c r="N19" s="106">
        <v>6555981</v>
      </c>
      <c r="O19" s="107">
        <v>184767</v>
      </c>
      <c r="P19" s="108">
        <f t="shared" si="4"/>
        <v>6740748</v>
      </c>
      <c r="Q19" s="40">
        <f t="shared" si="5"/>
        <v>0.10444570770817996</v>
      </c>
      <c r="R19" s="106">
        <v>11509960</v>
      </c>
      <c r="S19" s="108">
        <v>1103954</v>
      </c>
      <c r="T19" s="108">
        <f t="shared" si="6"/>
        <v>12613914</v>
      </c>
      <c r="U19" s="40">
        <f t="shared" si="7"/>
        <v>0.18946526301800004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24443273</v>
      </c>
      <c r="AA19" s="79">
        <f t="shared" si="11"/>
        <v>1288721</v>
      </c>
      <c r="AB19" s="79">
        <f t="shared" si="12"/>
        <v>25731994</v>
      </c>
      <c r="AC19" s="40">
        <f t="shared" si="13"/>
        <v>0.38650327021316294</v>
      </c>
      <c r="AD19" s="78">
        <v>11760438</v>
      </c>
      <c r="AE19" s="79">
        <v>2311439</v>
      </c>
      <c r="AF19" s="79">
        <f t="shared" si="14"/>
        <v>14071877</v>
      </c>
      <c r="AG19" s="40">
        <f>IF(71973860=0,0,41995201/71973860)</f>
        <v>0.5834785156722176</v>
      </c>
      <c r="AH19" s="40">
        <f t="shared" si="15"/>
        <v>-0.10360828196551175</v>
      </c>
      <c r="AI19" s="12">
        <v>68973230</v>
      </c>
      <c r="AJ19" s="12">
        <v>71973860</v>
      </c>
      <c r="AK19" s="12">
        <v>41995201</v>
      </c>
      <c r="AL19" s="12"/>
    </row>
    <row r="20" spans="1:38" s="13" customFormat="1" ht="12.75">
      <c r="A20" s="29" t="s">
        <v>114</v>
      </c>
      <c r="B20" s="61" t="s">
        <v>504</v>
      </c>
      <c r="C20" s="39" t="s">
        <v>505</v>
      </c>
      <c r="D20" s="78">
        <v>106872146</v>
      </c>
      <c r="E20" s="79">
        <v>93000</v>
      </c>
      <c r="F20" s="80">
        <f t="shared" si="0"/>
        <v>106965146</v>
      </c>
      <c r="G20" s="78">
        <v>106872146</v>
      </c>
      <c r="H20" s="79">
        <v>93000</v>
      </c>
      <c r="I20" s="81">
        <f t="shared" si="1"/>
        <v>106965146</v>
      </c>
      <c r="J20" s="78">
        <v>15463645</v>
      </c>
      <c r="K20" s="79">
        <v>81354</v>
      </c>
      <c r="L20" s="79">
        <f t="shared" si="2"/>
        <v>15544999</v>
      </c>
      <c r="M20" s="40">
        <f t="shared" si="3"/>
        <v>0.1453277032875737</v>
      </c>
      <c r="N20" s="106">
        <v>21145743</v>
      </c>
      <c r="O20" s="107">
        <v>8435</v>
      </c>
      <c r="P20" s="108">
        <f t="shared" si="4"/>
        <v>21154178</v>
      </c>
      <c r="Q20" s="40">
        <f t="shared" si="5"/>
        <v>0.19776701842673128</v>
      </c>
      <c r="R20" s="106">
        <v>13741677</v>
      </c>
      <c r="S20" s="108">
        <v>29952</v>
      </c>
      <c r="T20" s="108">
        <f t="shared" si="6"/>
        <v>13771629</v>
      </c>
      <c r="U20" s="40">
        <f t="shared" si="7"/>
        <v>0.12874875148583445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50351065</v>
      </c>
      <c r="AA20" s="79">
        <f t="shared" si="11"/>
        <v>119741</v>
      </c>
      <c r="AB20" s="79">
        <f t="shared" si="12"/>
        <v>50470806</v>
      </c>
      <c r="AC20" s="40">
        <f t="shared" si="13"/>
        <v>0.4718434732001394</v>
      </c>
      <c r="AD20" s="78">
        <v>11170340</v>
      </c>
      <c r="AE20" s="79">
        <v>136615</v>
      </c>
      <c r="AF20" s="79">
        <f t="shared" si="14"/>
        <v>11306955</v>
      </c>
      <c r="AG20" s="40">
        <f>IF(106925353=0,0,47174699/106925353)</f>
        <v>0.4411928291693365</v>
      </c>
      <c r="AH20" s="40">
        <f t="shared" si="15"/>
        <v>0.217978580440092</v>
      </c>
      <c r="AI20" s="12">
        <v>100803530</v>
      </c>
      <c r="AJ20" s="12">
        <v>106925353</v>
      </c>
      <c r="AK20" s="12">
        <v>47174699</v>
      </c>
      <c r="AL20" s="12"/>
    </row>
    <row r="21" spans="1:38" s="57" customFormat="1" ht="12.75">
      <c r="A21" s="62"/>
      <c r="B21" s="63" t="s">
        <v>506</v>
      </c>
      <c r="C21" s="32"/>
      <c r="D21" s="82">
        <f>SUM(D14:D20)</f>
        <v>699319191</v>
      </c>
      <c r="E21" s="83">
        <f>SUM(E14:E20)</f>
        <v>98195724</v>
      </c>
      <c r="F21" s="84">
        <f t="shared" si="0"/>
        <v>797514915</v>
      </c>
      <c r="G21" s="82">
        <f>SUM(G14:G20)</f>
        <v>689681969</v>
      </c>
      <c r="H21" s="83">
        <f>SUM(H14:H20)</f>
        <v>88020898</v>
      </c>
      <c r="I21" s="84">
        <f t="shared" si="1"/>
        <v>777702867</v>
      </c>
      <c r="J21" s="82">
        <f>SUM(J14:J20)</f>
        <v>126064793</v>
      </c>
      <c r="K21" s="83">
        <f>SUM(K14:K20)</f>
        <v>5530944</v>
      </c>
      <c r="L21" s="83">
        <f t="shared" si="2"/>
        <v>131595737</v>
      </c>
      <c r="M21" s="44">
        <f t="shared" si="3"/>
        <v>0.1650072425291256</v>
      </c>
      <c r="N21" s="112">
        <f>SUM(N14:N20)</f>
        <v>125761941</v>
      </c>
      <c r="O21" s="113">
        <f>SUM(O14:O20)</f>
        <v>17477297</v>
      </c>
      <c r="P21" s="114">
        <f t="shared" si="4"/>
        <v>143239238</v>
      </c>
      <c r="Q21" s="44">
        <f t="shared" si="5"/>
        <v>0.1796069707360896</v>
      </c>
      <c r="R21" s="112">
        <f>SUM(R14:R20)</f>
        <v>121001105</v>
      </c>
      <c r="S21" s="114">
        <f>SUM(S14:S20)</f>
        <v>13769894</v>
      </c>
      <c r="T21" s="114">
        <f t="shared" si="6"/>
        <v>134770999</v>
      </c>
      <c r="U21" s="44">
        <f t="shared" si="7"/>
        <v>0.17329368929792052</v>
      </c>
      <c r="V21" s="112">
        <f>SUM(V14:V20)</f>
        <v>0</v>
      </c>
      <c r="W21" s="114">
        <f>SUM(W14:W20)</f>
        <v>0</v>
      </c>
      <c r="X21" s="114">
        <f t="shared" si="8"/>
        <v>0</v>
      </c>
      <c r="Y21" s="44">
        <f t="shared" si="9"/>
        <v>0</v>
      </c>
      <c r="Z21" s="82">
        <f t="shared" si="10"/>
        <v>372827839</v>
      </c>
      <c r="AA21" s="83">
        <f t="shared" si="11"/>
        <v>36778135</v>
      </c>
      <c r="AB21" s="83">
        <f t="shared" si="12"/>
        <v>409605974</v>
      </c>
      <c r="AC21" s="44">
        <f t="shared" si="13"/>
        <v>0.5266869795402207</v>
      </c>
      <c r="AD21" s="82">
        <f>SUM(AD14:AD20)</f>
        <v>127207227</v>
      </c>
      <c r="AE21" s="83">
        <f>SUM(AE14:AE20)</f>
        <v>11620847</v>
      </c>
      <c r="AF21" s="83">
        <f t="shared" si="14"/>
        <v>138828074</v>
      </c>
      <c r="AG21" s="44">
        <f>IF(106925353=0,0,47174699/106925353)</f>
        <v>0.4411928291693365</v>
      </c>
      <c r="AH21" s="44">
        <f t="shared" si="15"/>
        <v>-0.029223736115506438</v>
      </c>
      <c r="AI21" s="64">
        <f>SUM(AI14:AI20)</f>
        <v>700345216</v>
      </c>
      <c r="AJ21" s="64">
        <f>SUM(AJ14:AJ20)</f>
        <v>750505100</v>
      </c>
      <c r="AK21" s="64">
        <f>SUM(AK14:AK20)</f>
        <v>433425859</v>
      </c>
      <c r="AL21" s="64"/>
    </row>
    <row r="22" spans="1:38" s="13" customFormat="1" ht="12.75">
      <c r="A22" s="29" t="s">
        <v>95</v>
      </c>
      <c r="B22" s="61" t="s">
        <v>507</v>
      </c>
      <c r="C22" s="39" t="s">
        <v>508</v>
      </c>
      <c r="D22" s="78">
        <v>119572141</v>
      </c>
      <c r="E22" s="79">
        <v>11791000</v>
      </c>
      <c r="F22" s="80">
        <f t="shared" si="0"/>
        <v>131363141</v>
      </c>
      <c r="G22" s="78">
        <v>119572141</v>
      </c>
      <c r="H22" s="79">
        <v>11791000</v>
      </c>
      <c r="I22" s="81">
        <f t="shared" si="1"/>
        <v>131363141</v>
      </c>
      <c r="J22" s="78">
        <v>15609012</v>
      </c>
      <c r="K22" s="79">
        <v>1114629</v>
      </c>
      <c r="L22" s="79">
        <f t="shared" si="2"/>
        <v>16723641</v>
      </c>
      <c r="M22" s="40">
        <f t="shared" si="3"/>
        <v>0.1273084738435114</v>
      </c>
      <c r="N22" s="106">
        <v>6739628</v>
      </c>
      <c r="O22" s="107">
        <v>1378080</v>
      </c>
      <c r="P22" s="108">
        <f t="shared" si="4"/>
        <v>8117708</v>
      </c>
      <c r="Q22" s="40">
        <f t="shared" si="5"/>
        <v>0.06179593406646694</v>
      </c>
      <c r="R22" s="106">
        <v>12057856</v>
      </c>
      <c r="S22" s="108">
        <v>1020560</v>
      </c>
      <c r="T22" s="108">
        <f t="shared" si="6"/>
        <v>13078416</v>
      </c>
      <c r="U22" s="40">
        <f t="shared" si="7"/>
        <v>0.09955925155595967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34406496</v>
      </c>
      <c r="AA22" s="79">
        <f t="shared" si="11"/>
        <v>3513269</v>
      </c>
      <c r="AB22" s="79">
        <f t="shared" si="12"/>
        <v>37919765</v>
      </c>
      <c r="AC22" s="40">
        <f t="shared" si="13"/>
        <v>0.288663659465938</v>
      </c>
      <c r="AD22" s="78">
        <v>16161741</v>
      </c>
      <c r="AE22" s="79">
        <v>2293268</v>
      </c>
      <c r="AF22" s="79">
        <f t="shared" si="14"/>
        <v>18455009</v>
      </c>
      <c r="AG22" s="40">
        <f>IF(98753000=0,0,48815927/98753000)</f>
        <v>0.4943234838435288</v>
      </c>
      <c r="AH22" s="40">
        <f t="shared" si="15"/>
        <v>-0.2913351600099463</v>
      </c>
      <c r="AI22" s="12">
        <v>98753000</v>
      </c>
      <c r="AJ22" s="12">
        <v>98753000</v>
      </c>
      <c r="AK22" s="12">
        <v>48815927</v>
      </c>
      <c r="AL22" s="12"/>
    </row>
    <row r="23" spans="1:38" s="13" customFormat="1" ht="12.75">
      <c r="A23" s="29" t="s">
        <v>95</v>
      </c>
      <c r="B23" s="61" t="s">
        <v>509</v>
      </c>
      <c r="C23" s="39" t="s">
        <v>510</v>
      </c>
      <c r="D23" s="78">
        <v>135258292</v>
      </c>
      <c r="E23" s="79">
        <v>57273300</v>
      </c>
      <c r="F23" s="80">
        <f t="shared" si="0"/>
        <v>192531592</v>
      </c>
      <c r="G23" s="78">
        <v>147389652</v>
      </c>
      <c r="H23" s="79">
        <v>78179039</v>
      </c>
      <c r="I23" s="81">
        <f t="shared" si="1"/>
        <v>225568691</v>
      </c>
      <c r="J23" s="78">
        <v>31700921</v>
      </c>
      <c r="K23" s="79">
        <v>4894577</v>
      </c>
      <c r="L23" s="79">
        <f t="shared" si="2"/>
        <v>36595498</v>
      </c>
      <c r="M23" s="40">
        <f t="shared" si="3"/>
        <v>0.1900752890465893</v>
      </c>
      <c r="N23" s="106">
        <v>31807269</v>
      </c>
      <c r="O23" s="107">
        <v>14245201</v>
      </c>
      <c r="P23" s="108">
        <f t="shared" si="4"/>
        <v>46052470</v>
      </c>
      <c r="Q23" s="40">
        <f t="shared" si="5"/>
        <v>0.2391943551788633</v>
      </c>
      <c r="R23" s="106">
        <v>27786261</v>
      </c>
      <c r="S23" s="108">
        <v>22512266</v>
      </c>
      <c r="T23" s="108">
        <f t="shared" si="6"/>
        <v>50298527</v>
      </c>
      <c r="U23" s="40">
        <f t="shared" si="7"/>
        <v>0.22298540979696513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91294451</v>
      </c>
      <c r="AA23" s="79">
        <f t="shared" si="11"/>
        <v>41652044</v>
      </c>
      <c r="AB23" s="79">
        <f t="shared" si="12"/>
        <v>132946495</v>
      </c>
      <c r="AC23" s="40">
        <f t="shared" si="13"/>
        <v>0.5893836348059492</v>
      </c>
      <c r="AD23" s="78">
        <v>28463890</v>
      </c>
      <c r="AE23" s="79">
        <v>5660463</v>
      </c>
      <c r="AF23" s="79">
        <f t="shared" si="14"/>
        <v>34124353</v>
      </c>
      <c r="AG23" s="40">
        <f>IF(177394163=0,0,106998770/177394163)</f>
        <v>0.6031696206374051</v>
      </c>
      <c r="AH23" s="40">
        <f t="shared" si="15"/>
        <v>0.4739774553381275</v>
      </c>
      <c r="AI23" s="12">
        <v>166578781</v>
      </c>
      <c r="AJ23" s="12">
        <v>177394163</v>
      </c>
      <c r="AK23" s="12">
        <v>106998770</v>
      </c>
      <c r="AL23" s="12"/>
    </row>
    <row r="24" spans="1:38" s="13" customFormat="1" ht="12.75">
      <c r="A24" s="29" t="s">
        <v>95</v>
      </c>
      <c r="B24" s="61" t="s">
        <v>511</v>
      </c>
      <c r="C24" s="39" t="s">
        <v>512</v>
      </c>
      <c r="D24" s="78">
        <v>220895958</v>
      </c>
      <c r="E24" s="79">
        <v>67344191</v>
      </c>
      <c r="F24" s="80">
        <f t="shared" si="0"/>
        <v>288240149</v>
      </c>
      <c r="G24" s="78">
        <v>215864131</v>
      </c>
      <c r="H24" s="79">
        <v>19121291</v>
      </c>
      <c r="I24" s="81">
        <f t="shared" si="1"/>
        <v>234985422</v>
      </c>
      <c r="J24" s="78">
        <v>48647968</v>
      </c>
      <c r="K24" s="79">
        <v>970297</v>
      </c>
      <c r="L24" s="79">
        <f t="shared" si="2"/>
        <v>49618265</v>
      </c>
      <c r="M24" s="40">
        <f t="shared" si="3"/>
        <v>0.17214210155019036</v>
      </c>
      <c r="N24" s="106">
        <v>41478024</v>
      </c>
      <c r="O24" s="107">
        <v>3670938</v>
      </c>
      <c r="P24" s="108">
        <f t="shared" si="4"/>
        <v>45148962</v>
      </c>
      <c r="Q24" s="40">
        <f t="shared" si="5"/>
        <v>0.15663661761429357</v>
      </c>
      <c r="R24" s="106">
        <v>43551501</v>
      </c>
      <c r="S24" s="108">
        <v>1827728</v>
      </c>
      <c r="T24" s="108">
        <f t="shared" si="6"/>
        <v>45379229</v>
      </c>
      <c r="U24" s="40">
        <f t="shared" si="7"/>
        <v>0.1931150818368639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133677493</v>
      </c>
      <c r="AA24" s="79">
        <f t="shared" si="11"/>
        <v>6468963</v>
      </c>
      <c r="AB24" s="79">
        <f t="shared" si="12"/>
        <v>140146456</v>
      </c>
      <c r="AC24" s="40">
        <f t="shared" si="13"/>
        <v>0.5964048952789931</v>
      </c>
      <c r="AD24" s="78">
        <v>38534751</v>
      </c>
      <c r="AE24" s="79">
        <v>2911741</v>
      </c>
      <c r="AF24" s="79">
        <f t="shared" si="14"/>
        <v>41446492</v>
      </c>
      <c r="AG24" s="40">
        <f>IF(225903058=0,0,130928683/225903058)</f>
        <v>0.579579064396729</v>
      </c>
      <c r="AH24" s="40">
        <f t="shared" si="15"/>
        <v>0.09488708959976644</v>
      </c>
      <c r="AI24" s="12">
        <v>242256192</v>
      </c>
      <c r="AJ24" s="12">
        <v>225903058</v>
      </c>
      <c r="AK24" s="12">
        <v>130928683</v>
      </c>
      <c r="AL24" s="12"/>
    </row>
    <row r="25" spans="1:38" s="13" customFormat="1" ht="12.75">
      <c r="A25" s="29" t="s">
        <v>95</v>
      </c>
      <c r="B25" s="61" t="s">
        <v>513</v>
      </c>
      <c r="C25" s="39" t="s">
        <v>514</v>
      </c>
      <c r="D25" s="78">
        <v>59155751</v>
      </c>
      <c r="E25" s="79">
        <v>7928000</v>
      </c>
      <c r="F25" s="80">
        <f t="shared" si="0"/>
        <v>67083751</v>
      </c>
      <c r="G25" s="78">
        <v>59771842</v>
      </c>
      <c r="H25" s="79">
        <v>10385119</v>
      </c>
      <c r="I25" s="81">
        <f t="shared" si="1"/>
        <v>70156961</v>
      </c>
      <c r="J25" s="78">
        <v>11003103</v>
      </c>
      <c r="K25" s="79">
        <v>1784631</v>
      </c>
      <c r="L25" s="79">
        <f t="shared" si="2"/>
        <v>12787734</v>
      </c>
      <c r="M25" s="40">
        <f t="shared" si="3"/>
        <v>0.19062341937319516</v>
      </c>
      <c r="N25" s="106">
        <v>12563743</v>
      </c>
      <c r="O25" s="107">
        <v>1587108</v>
      </c>
      <c r="P25" s="108">
        <f t="shared" si="4"/>
        <v>14150851</v>
      </c>
      <c r="Q25" s="40">
        <f t="shared" si="5"/>
        <v>0.21094304938315092</v>
      </c>
      <c r="R25" s="106">
        <v>10460397</v>
      </c>
      <c r="S25" s="108">
        <v>609453</v>
      </c>
      <c r="T25" s="108">
        <f t="shared" si="6"/>
        <v>11069850</v>
      </c>
      <c r="U25" s="40">
        <f t="shared" si="7"/>
        <v>0.15778690870033552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34027243</v>
      </c>
      <c r="AA25" s="79">
        <f t="shared" si="11"/>
        <v>3981192</v>
      </c>
      <c r="AB25" s="79">
        <f t="shared" si="12"/>
        <v>38008435</v>
      </c>
      <c r="AC25" s="40">
        <f t="shared" si="13"/>
        <v>0.5417628480230209</v>
      </c>
      <c r="AD25" s="78">
        <v>8655007</v>
      </c>
      <c r="AE25" s="79">
        <v>291596</v>
      </c>
      <c r="AF25" s="79">
        <f t="shared" si="14"/>
        <v>8946603</v>
      </c>
      <c r="AG25" s="40">
        <f>IF(73627001=0,0,36437546/73627001)</f>
        <v>0.49489379582362725</v>
      </c>
      <c r="AH25" s="40">
        <f t="shared" si="15"/>
        <v>0.23732437887318802</v>
      </c>
      <c r="AI25" s="12">
        <v>73627001</v>
      </c>
      <c r="AJ25" s="12">
        <v>73627001</v>
      </c>
      <c r="AK25" s="12">
        <v>36437546</v>
      </c>
      <c r="AL25" s="12"/>
    </row>
    <row r="26" spans="1:38" s="13" customFormat="1" ht="12.75">
      <c r="A26" s="29" t="s">
        <v>95</v>
      </c>
      <c r="B26" s="61" t="s">
        <v>515</v>
      </c>
      <c r="C26" s="39" t="s">
        <v>516</v>
      </c>
      <c r="D26" s="78">
        <v>51233621</v>
      </c>
      <c r="E26" s="79">
        <v>9890000</v>
      </c>
      <c r="F26" s="80">
        <f t="shared" si="0"/>
        <v>61123621</v>
      </c>
      <c r="G26" s="78">
        <v>51233621</v>
      </c>
      <c r="H26" s="79">
        <v>9890000</v>
      </c>
      <c r="I26" s="81">
        <f t="shared" si="1"/>
        <v>61123621</v>
      </c>
      <c r="J26" s="78">
        <v>8105243</v>
      </c>
      <c r="K26" s="79">
        <v>497372</v>
      </c>
      <c r="L26" s="79">
        <f t="shared" si="2"/>
        <v>8602615</v>
      </c>
      <c r="M26" s="40">
        <f t="shared" si="3"/>
        <v>0.1407412528783267</v>
      </c>
      <c r="N26" s="106">
        <v>6990906</v>
      </c>
      <c r="O26" s="107">
        <v>286652</v>
      </c>
      <c r="P26" s="108">
        <f t="shared" si="4"/>
        <v>7277558</v>
      </c>
      <c r="Q26" s="40">
        <f t="shared" si="5"/>
        <v>0.11906293967760843</v>
      </c>
      <c r="R26" s="106">
        <v>5507345</v>
      </c>
      <c r="S26" s="108">
        <v>0</v>
      </c>
      <c r="T26" s="108">
        <f t="shared" si="6"/>
        <v>5507345</v>
      </c>
      <c r="U26" s="40">
        <f t="shared" si="7"/>
        <v>0.09010174642631201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20603494</v>
      </c>
      <c r="AA26" s="79">
        <f t="shared" si="11"/>
        <v>784024</v>
      </c>
      <c r="AB26" s="79">
        <f t="shared" si="12"/>
        <v>21387518</v>
      </c>
      <c r="AC26" s="40">
        <f t="shared" si="13"/>
        <v>0.34990593898224714</v>
      </c>
      <c r="AD26" s="78">
        <v>8177734</v>
      </c>
      <c r="AE26" s="79">
        <v>1602496</v>
      </c>
      <c r="AF26" s="79">
        <f t="shared" si="14"/>
        <v>9780230</v>
      </c>
      <c r="AG26" s="40">
        <f>IF(48076100=0,0,35145842/48076100)</f>
        <v>0.7310460291080183</v>
      </c>
      <c r="AH26" s="40">
        <f t="shared" si="15"/>
        <v>-0.43689003223850564</v>
      </c>
      <c r="AI26" s="12">
        <v>48076100</v>
      </c>
      <c r="AJ26" s="12">
        <v>48076100</v>
      </c>
      <c r="AK26" s="12">
        <v>35145842</v>
      </c>
      <c r="AL26" s="12"/>
    </row>
    <row r="27" spans="1:38" s="13" customFormat="1" ht="12.75">
      <c r="A27" s="29" t="s">
        <v>95</v>
      </c>
      <c r="B27" s="61" t="s">
        <v>517</v>
      </c>
      <c r="C27" s="39" t="s">
        <v>518</v>
      </c>
      <c r="D27" s="78">
        <v>64379557</v>
      </c>
      <c r="E27" s="79">
        <v>17256550</v>
      </c>
      <c r="F27" s="80">
        <f t="shared" si="0"/>
        <v>81636107</v>
      </c>
      <c r="G27" s="78">
        <v>78406896</v>
      </c>
      <c r="H27" s="79">
        <v>17256550</v>
      </c>
      <c r="I27" s="81">
        <f t="shared" si="1"/>
        <v>95663446</v>
      </c>
      <c r="J27" s="78">
        <v>23995063</v>
      </c>
      <c r="K27" s="79">
        <v>2997872</v>
      </c>
      <c r="L27" s="79">
        <f t="shared" si="2"/>
        <v>26992935</v>
      </c>
      <c r="M27" s="40">
        <f t="shared" si="3"/>
        <v>0.33064946372320275</v>
      </c>
      <c r="N27" s="106">
        <v>11369302</v>
      </c>
      <c r="O27" s="107">
        <v>9650823</v>
      </c>
      <c r="P27" s="108">
        <f t="shared" si="4"/>
        <v>21020125</v>
      </c>
      <c r="Q27" s="40">
        <f t="shared" si="5"/>
        <v>0.2574856368395911</v>
      </c>
      <c r="R27" s="106">
        <v>11121594</v>
      </c>
      <c r="S27" s="108">
        <v>4140458</v>
      </c>
      <c r="T27" s="108">
        <f t="shared" si="6"/>
        <v>15262052</v>
      </c>
      <c r="U27" s="40">
        <f t="shared" si="7"/>
        <v>0.15953901556086533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46485959</v>
      </c>
      <c r="AA27" s="79">
        <f t="shared" si="11"/>
        <v>16789153</v>
      </c>
      <c r="AB27" s="79">
        <f t="shared" si="12"/>
        <v>63275112</v>
      </c>
      <c r="AC27" s="40">
        <f t="shared" si="13"/>
        <v>0.6614345880870736</v>
      </c>
      <c r="AD27" s="78">
        <v>10133377</v>
      </c>
      <c r="AE27" s="79">
        <v>6253631</v>
      </c>
      <c r="AF27" s="79">
        <f t="shared" si="14"/>
        <v>16387008</v>
      </c>
      <c r="AG27" s="40">
        <f>IF(77878359=0,0,44636260/77878359)</f>
        <v>0.5731535765924395</v>
      </c>
      <c r="AH27" s="40">
        <f t="shared" si="15"/>
        <v>-0.06864926165899232</v>
      </c>
      <c r="AI27" s="12">
        <v>76386582</v>
      </c>
      <c r="AJ27" s="12">
        <v>77878359</v>
      </c>
      <c r="AK27" s="12">
        <v>44636260</v>
      </c>
      <c r="AL27" s="12"/>
    </row>
    <row r="28" spans="1:38" s="13" customFormat="1" ht="12.75">
      <c r="A28" s="29" t="s">
        <v>95</v>
      </c>
      <c r="B28" s="61" t="s">
        <v>519</v>
      </c>
      <c r="C28" s="39" t="s">
        <v>520</v>
      </c>
      <c r="D28" s="78">
        <v>94006082</v>
      </c>
      <c r="E28" s="79">
        <v>9653000</v>
      </c>
      <c r="F28" s="80">
        <f t="shared" si="0"/>
        <v>103659082</v>
      </c>
      <c r="G28" s="78">
        <v>83362598</v>
      </c>
      <c r="H28" s="79">
        <v>9654000</v>
      </c>
      <c r="I28" s="81">
        <f t="shared" si="1"/>
        <v>93016598</v>
      </c>
      <c r="J28" s="78">
        <v>20903065</v>
      </c>
      <c r="K28" s="79">
        <v>3355356</v>
      </c>
      <c r="L28" s="79">
        <f t="shared" si="2"/>
        <v>24258421</v>
      </c>
      <c r="M28" s="40">
        <f t="shared" si="3"/>
        <v>0.23402118301607186</v>
      </c>
      <c r="N28" s="106">
        <v>23805474</v>
      </c>
      <c r="O28" s="107">
        <v>3847496</v>
      </c>
      <c r="P28" s="108">
        <f t="shared" si="4"/>
        <v>27652970</v>
      </c>
      <c r="Q28" s="40">
        <f t="shared" si="5"/>
        <v>0.26676842459399747</v>
      </c>
      <c r="R28" s="106">
        <v>21271644</v>
      </c>
      <c r="S28" s="108">
        <v>0</v>
      </c>
      <c r="T28" s="108">
        <f t="shared" si="6"/>
        <v>21271644</v>
      </c>
      <c r="U28" s="40">
        <f t="shared" si="7"/>
        <v>0.22868654043872902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65980183</v>
      </c>
      <c r="AA28" s="79">
        <f t="shared" si="11"/>
        <v>7202852</v>
      </c>
      <c r="AB28" s="79">
        <f t="shared" si="12"/>
        <v>73183035</v>
      </c>
      <c r="AC28" s="40">
        <f t="shared" si="13"/>
        <v>0.7867739368408206</v>
      </c>
      <c r="AD28" s="78">
        <v>21121411</v>
      </c>
      <c r="AE28" s="79">
        <v>0</v>
      </c>
      <c r="AF28" s="79">
        <f t="shared" si="14"/>
        <v>21121411</v>
      </c>
      <c r="AG28" s="40">
        <f>IF(102006000=0,0,48719432/102006000)</f>
        <v>0.4776133952904731</v>
      </c>
      <c r="AH28" s="40">
        <f t="shared" si="15"/>
        <v>0.007112829725248959</v>
      </c>
      <c r="AI28" s="12">
        <v>102006000</v>
      </c>
      <c r="AJ28" s="12">
        <v>102006000</v>
      </c>
      <c r="AK28" s="12">
        <v>48719432</v>
      </c>
      <c r="AL28" s="12"/>
    </row>
    <row r="29" spans="1:38" s="13" customFormat="1" ht="12.75">
      <c r="A29" s="29" t="s">
        <v>95</v>
      </c>
      <c r="B29" s="61" t="s">
        <v>521</v>
      </c>
      <c r="C29" s="39" t="s">
        <v>522</v>
      </c>
      <c r="D29" s="78">
        <v>166054943</v>
      </c>
      <c r="E29" s="79">
        <v>27621000</v>
      </c>
      <c r="F29" s="80">
        <f t="shared" si="0"/>
        <v>193675943</v>
      </c>
      <c r="G29" s="78">
        <v>148652255</v>
      </c>
      <c r="H29" s="79">
        <v>25821000</v>
      </c>
      <c r="I29" s="81">
        <f t="shared" si="1"/>
        <v>174473255</v>
      </c>
      <c r="J29" s="78">
        <v>29742851</v>
      </c>
      <c r="K29" s="79">
        <v>4528769</v>
      </c>
      <c r="L29" s="79">
        <f t="shared" si="2"/>
        <v>34271620</v>
      </c>
      <c r="M29" s="40">
        <f t="shared" si="3"/>
        <v>0.17695341749284785</v>
      </c>
      <c r="N29" s="106">
        <v>22151702</v>
      </c>
      <c r="O29" s="107">
        <v>15566610</v>
      </c>
      <c r="P29" s="108">
        <f t="shared" si="4"/>
        <v>37718312</v>
      </c>
      <c r="Q29" s="40">
        <f t="shared" si="5"/>
        <v>0.19474959778561657</v>
      </c>
      <c r="R29" s="106">
        <v>50098348</v>
      </c>
      <c r="S29" s="108">
        <v>7489150</v>
      </c>
      <c r="T29" s="108">
        <f t="shared" si="6"/>
        <v>57587498</v>
      </c>
      <c r="U29" s="40">
        <f t="shared" si="7"/>
        <v>0.33006490307067404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101992901</v>
      </c>
      <c r="AA29" s="79">
        <f t="shared" si="11"/>
        <v>27584529</v>
      </c>
      <c r="AB29" s="79">
        <f t="shared" si="12"/>
        <v>129577430</v>
      </c>
      <c r="AC29" s="40">
        <f t="shared" si="13"/>
        <v>0.7426778963916275</v>
      </c>
      <c r="AD29" s="78">
        <v>36521122</v>
      </c>
      <c r="AE29" s="79">
        <v>16479925</v>
      </c>
      <c r="AF29" s="79">
        <f t="shared" si="14"/>
        <v>53001047</v>
      </c>
      <c r="AG29" s="40">
        <f>IF(181926052=0,0,118236612/181926052)</f>
        <v>0.6499157800665074</v>
      </c>
      <c r="AH29" s="40">
        <f t="shared" si="15"/>
        <v>0.08653510184430879</v>
      </c>
      <c r="AI29" s="12">
        <v>180524640</v>
      </c>
      <c r="AJ29" s="12">
        <v>181926052</v>
      </c>
      <c r="AK29" s="12">
        <v>118236612</v>
      </c>
      <c r="AL29" s="12"/>
    </row>
    <row r="30" spans="1:38" s="13" customFormat="1" ht="12.75">
      <c r="A30" s="29" t="s">
        <v>114</v>
      </c>
      <c r="B30" s="61" t="s">
        <v>523</v>
      </c>
      <c r="C30" s="39" t="s">
        <v>524</v>
      </c>
      <c r="D30" s="78">
        <v>50072786</v>
      </c>
      <c r="E30" s="79">
        <v>0</v>
      </c>
      <c r="F30" s="80">
        <f t="shared" si="0"/>
        <v>50072786</v>
      </c>
      <c r="G30" s="78">
        <v>53665851</v>
      </c>
      <c r="H30" s="79">
        <v>0</v>
      </c>
      <c r="I30" s="81">
        <f t="shared" si="1"/>
        <v>53665851</v>
      </c>
      <c r="J30" s="78">
        <v>10968092</v>
      </c>
      <c r="K30" s="79">
        <v>13208</v>
      </c>
      <c r="L30" s="79">
        <f t="shared" si="2"/>
        <v>10981300</v>
      </c>
      <c r="M30" s="40">
        <f t="shared" si="3"/>
        <v>0.21930675077675926</v>
      </c>
      <c r="N30" s="106">
        <v>11726127</v>
      </c>
      <c r="O30" s="107">
        <v>0</v>
      </c>
      <c r="P30" s="108">
        <f t="shared" si="4"/>
        <v>11726127</v>
      </c>
      <c r="Q30" s="40">
        <f t="shared" si="5"/>
        <v>0.23418163710723025</v>
      </c>
      <c r="R30" s="106">
        <v>12742886</v>
      </c>
      <c r="S30" s="108">
        <v>327193</v>
      </c>
      <c r="T30" s="108">
        <f t="shared" si="6"/>
        <v>13070079</v>
      </c>
      <c r="U30" s="40">
        <f t="shared" si="7"/>
        <v>0.24354554631025976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35437105</v>
      </c>
      <c r="AA30" s="79">
        <f t="shared" si="11"/>
        <v>340401</v>
      </c>
      <c r="AB30" s="79">
        <f t="shared" si="12"/>
        <v>35777506</v>
      </c>
      <c r="AC30" s="40">
        <f t="shared" si="13"/>
        <v>0.6666717350666814</v>
      </c>
      <c r="AD30" s="78">
        <v>10675034</v>
      </c>
      <c r="AE30" s="79">
        <v>30398</v>
      </c>
      <c r="AF30" s="79">
        <f t="shared" si="14"/>
        <v>10705432</v>
      </c>
      <c r="AG30" s="40">
        <f>IF(46349780=0,0,33960868/46349780)</f>
        <v>0.7327082890145326</v>
      </c>
      <c r="AH30" s="40">
        <f t="shared" si="15"/>
        <v>0.22088291252515546</v>
      </c>
      <c r="AI30" s="12">
        <v>45662992</v>
      </c>
      <c r="AJ30" s="12">
        <v>46349780</v>
      </c>
      <c r="AK30" s="12">
        <v>33960868</v>
      </c>
      <c r="AL30" s="12"/>
    </row>
    <row r="31" spans="1:38" s="57" customFormat="1" ht="12.75">
      <c r="A31" s="62"/>
      <c r="B31" s="63" t="s">
        <v>525</v>
      </c>
      <c r="C31" s="32"/>
      <c r="D31" s="82">
        <f>SUM(D22:D30)</f>
        <v>960629131</v>
      </c>
      <c r="E31" s="83">
        <f>SUM(E22:E30)</f>
        <v>208757041</v>
      </c>
      <c r="F31" s="84">
        <f t="shared" si="0"/>
        <v>1169386172</v>
      </c>
      <c r="G31" s="82">
        <f>SUM(G22:G30)</f>
        <v>957918987</v>
      </c>
      <c r="H31" s="83">
        <f>SUM(H22:H30)</f>
        <v>182097999</v>
      </c>
      <c r="I31" s="84">
        <f t="shared" si="1"/>
        <v>1140016986</v>
      </c>
      <c r="J31" s="82">
        <f>SUM(J22:J30)</f>
        <v>200675318</v>
      </c>
      <c r="K31" s="83">
        <f>SUM(K22:K30)</f>
        <v>20156711</v>
      </c>
      <c r="L31" s="83">
        <f t="shared" si="2"/>
        <v>220832029</v>
      </c>
      <c r="M31" s="44">
        <f t="shared" si="3"/>
        <v>0.1888443991280581</v>
      </c>
      <c r="N31" s="112">
        <f>SUM(N22:N30)</f>
        <v>168632175</v>
      </c>
      <c r="O31" s="113">
        <f>SUM(O22:O30)</f>
        <v>50232908</v>
      </c>
      <c r="P31" s="114">
        <f t="shared" si="4"/>
        <v>218865083</v>
      </c>
      <c r="Q31" s="44">
        <f t="shared" si="5"/>
        <v>0.18716236624012345</v>
      </c>
      <c r="R31" s="112">
        <f>SUM(R22:R30)</f>
        <v>194597832</v>
      </c>
      <c r="S31" s="114">
        <f>SUM(S22:S30)</f>
        <v>37926808</v>
      </c>
      <c r="T31" s="114">
        <f t="shared" si="6"/>
        <v>232524640</v>
      </c>
      <c r="U31" s="44">
        <f t="shared" si="7"/>
        <v>0.20396594336358423</v>
      </c>
      <c r="V31" s="112">
        <f>SUM(V22:V30)</f>
        <v>0</v>
      </c>
      <c r="W31" s="114">
        <f>SUM(W22:W30)</f>
        <v>0</v>
      </c>
      <c r="X31" s="114">
        <f t="shared" si="8"/>
        <v>0</v>
      </c>
      <c r="Y31" s="44">
        <f t="shared" si="9"/>
        <v>0</v>
      </c>
      <c r="Z31" s="82">
        <f t="shared" si="10"/>
        <v>563905325</v>
      </c>
      <c r="AA31" s="83">
        <f t="shared" si="11"/>
        <v>108316427</v>
      </c>
      <c r="AB31" s="83">
        <f t="shared" si="12"/>
        <v>672221752</v>
      </c>
      <c r="AC31" s="44">
        <f t="shared" si="13"/>
        <v>0.58965941758345</v>
      </c>
      <c r="AD31" s="82">
        <f>SUM(AD22:AD30)</f>
        <v>178444067</v>
      </c>
      <c r="AE31" s="83">
        <f>SUM(AE22:AE30)</f>
        <v>35523518</v>
      </c>
      <c r="AF31" s="83">
        <f t="shared" si="14"/>
        <v>213967585</v>
      </c>
      <c r="AG31" s="44">
        <f>IF(46349780=0,0,33960868/46349780)</f>
        <v>0.7327082890145326</v>
      </c>
      <c r="AH31" s="44">
        <f t="shared" si="15"/>
        <v>0.08672834719333777</v>
      </c>
      <c r="AI31" s="64">
        <f>SUM(AI22:AI30)</f>
        <v>1033871288</v>
      </c>
      <c r="AJ31" s="64">
        <f>SUM(AJ22:AJ30)</f>
        <v>1031913513</v>
      </c>
      <c r="AK31" s="64">
        <f>SUM(AK22:AK30)</f>
        <v>603879940</v>
      </c>
      <c r="AL31" s="64"/>
    </row>
    <row r="32" spans="1:38" s="13" customFormat="1" ht="12.75">
      <c r="A32" s="29" t="s">
        <v>95</v>
      </c>
      <c r="B32" s="61" t="s">
        <v>526</v>
      </c>
      <c r="C32" s="39" t="s">
        <v>527</v>
      </c>
      <c r="D32" s="78">
        <v>33243230</v>
      </c>
      <c r="E32" s="79">
        <v>6780000</v>
      </c>
      <c r="F32" s="80">
        <f t="shared" si="0"/>
        <v>40023230</v>
      </c>
      <c r="G32" s="78">
        <v>36628722</v>
      </c>
      <c r="H32" s="79">
        <v>7264722</v>
      </c>
      <c r="I32" s="81">
        <f t="shared" si="1"/>
        <v>43893444</v>
      </c>
      <c r="J32" s="78">
        <v>5238002</v>
      </c>
      <c r="K32" s="79">
        <v>552058</v>
      </c>
      <c r="L32" s="79">
        <f t="shared" si="2"/>
        <v>5790060</v>
      </c>
      <c r="M32" s="40">
        <f t="shared" si="3"/>
        <v>0.14466748435845883</v>
      </c>
      <c r="N32" s="106">
        <v>6392720</v>
      </c>
      <c r="O32" s="107">
        <v>4218539</v>
      </c>
      <c r="P32" s="108">
        <f t="shared" si="4"/>
        <v>10611259</v>
      </c>
      <c r="Q32" s="40">
        <f t="shared" si="5"/>
        <v>0.26512750220309556</v>
      </c>
      <c r="R32" s="106">
        <v>8519266</v>
      </c>
      <c r="S32" s="108">
        <v>1517813</v>
      </c>
      <c r="T32" s="108">
        <f t="shared" si="6"/>
        <v>10037079</v>
      </c>
      <c r="U32" s="40">
        <f t="shared" si="7"/>
        <v>0.22866920627144227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20149988</v>
      </c>
      <c r="AA32" s="79">
        <f t="shared" si="11"/>
        <v>6288410</v>
      </c>
      <c r="AB32" s="79">
        <f t="shared" si="12"/>
        <v>26438398</v>
      </c>
      <c r="AC32" s="40">
        <f t="shared" si="13"/>
        <v>0.6023313641098657</v>
      </c>
      <c r="AD32" s="78">
        <v>5397389</v>
      </c>
      <c r="AE32" s="79">
        <v>4539503</v>
      </c>
      <c r="AF32" s="79">
        <f t="shared" si="14"/>
        <v>9936892</v>
      </c>
      <c r="AG32" s="40">
        <f>IF(45693745=0,0,25538188/45693745)</f>
        <v>0.5588989915359313</v>
      </c>
      <c r="AH32" s="40">
        <f t="shared" si="15"/>
        <v>0.010082327552719761</v>
      </c>
      <c r="AI32" s="12">
        <v>33812475</v>
      </c>
      <c r="AJ32" s="12">
        <v>45693745</v>
      </c>
      <c r="AK32" s="12">
        <v>25538188</v>
      </c>
      <c r="AL32" s="12"/>
    </row>
    <row r="33" spans="1:38" s="13" customFormat="1" ht="12.75">
      <c r="A33" s="29" t="s">
        <v>95</v>
      </c>
      <c r="B33" s="61" t="s">
        <v>528</v>
      </c>
      <c r="C33" s="39" t="s">
        <v>529</v>
      </c>
      <c r="D33" s="78">
        <v>180012271</v>
      </c>
      <c r="E33" s="79">
        <v>21784312</v>
      </c>
      <c r="F33" s="80">
        <f t="shared" si="0"/>
        <v>201796583</v>
      </c>
      <c r="G33" s="78">
        <v>180157800</v>
      </c>
      <c r="H33" s="79">
        <v>23784312</v>
      </c>
      <c r="I33" s="81">
        <f t="shared" si="1"/>
        <v>203942112</v>
      </c>
      <c r="J33" s="78">
        <v>49621679</v>
      </c>
      <c r="K33" s="79">
        <v>1034957</v>
      </c>
      <c r="L33" s="79">
        <f t="shared" si="2"/>
        <v>50656636</v>
      </c>
      <c r="M33" s="40">
        <f t="shared" si="3"/>
        <v>0.25102821488310334</v>
      </c>
      <c r="N33" s="106">
        <v>23469003</v>
      </c>
      <c r="O33" s="107">
        <v>1995222</v>
      </c>
      <c r="P33" s="108">
        <f t="shared" si="4"/>
        <v>25464225</v>
      </c>
      <c r="Q33" s="40">
        <f t="shared" si="5"/>
        <v>0.12618759258178322</v>
      </c>
      <c r="R33" s="106">
        <v>52915538</v>
      </c>
      <c r="S33" s="108">
        <v>10380062</v>
      </c>
      <c r="T33" s="108">
        <f t="shared" si="6"/>
        <v>63295600</v>
      </c>
      <c r="U33" s="40">
        <f t="shared" si="7"/>
        <v>0.3103606184092082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126006220</v>
      </c>
      <c r="AA33" s="79">
        <f t="shared" si="11"/>
        <v>13410241</v>
      </c>
      <c r="AB33" s="79">
        <f t="shared" si="12"/>
        <v>139416461</v>
      </c>
      <c r="AC33" s="40">
        <f t="shared" si="13"/>
        <v>0.683608008335228</v>
      </c>
      <c r="AD33" s="78">
        <v>40639614</v>
      </c>
      <c r="AE33" s="79">
        <v>1364666</v>
      </c>
      <c r="AF33" s="79">
        <f t="shared" si="14"/>
        <v>42004280</v>
      </c>
      <c r="AG33" s="40">
        <f>IF(219879675=0,0,145245253/219879675)</f>
        <v>0.6605669805542509</v>
      </c>
      <c r="AH33" s="40">
        <f t="shared" si="15"/>
        <v>0.5068845365281824</v>
      </c>
      <c r="AI33" s="12">
        <v>213302565</v>
      </c>
      <c r="AJ33" s="12">
        <v>219879675</v>
      </c>
      <c r="AK33" s="12">
        <v>145245253</v>
      </c>
      <c r="AL33" s="12"/>
    </row>
    <row r="34" spans="1:38" s="13" customFormat="1" ht="12.75">
      <c r="A34" s="29" t="s">
        <v>95</v>
      </c>
      <c r="B34" s="61" t="s">
        <v>530</v>
      </c>
      <c r="C34" s="39" t="s">
        <v>531</v>
      </c>
      <c r="D34" s="78">
        <v>595000296</v>
      </c>
      <c r="E34" s="79">
        <v>36251396</v>
      </c>
      <c r="F34" s="80">
        <f t="shared" si="0"/>
        <v>631251692</v>
      </c>
      <c r="G34" s="78">
        <v>607850082</v>
      </c>
      <c r="H34" s="79">
        <v>51098146</v>
      </c>
      <c r="I34" s="81">
        <f t="shared" si="1"/>
        <v>658948228</v>
      </c>
      <c r="J34" s="78">
        <v>131817200</v>
      </c>
      <c r="K34" s="79">
        <v>3044130</v>
      </c>
      <c r="L34" s="79">
        <f t="shared" si="2"/>
        <v>134861330</v>
      </c>
      <c r="M34" s="40">
        <f t="shared" si="3"/>
        <v>0.21364113824822825</v>
      </c>
      <c r="N34" s="106">
        <v>148311079</v>
      </c>
      <c r="O34" s="107">
        <v>2222786</v>
      </c>
      <c r="P34" s="108">
        <f t="shared" si="4"/>
        <v>150533865</v>
      </c>
      <c r="Q34" s="40">
        <f t="shared" si="5"/>
        <v>0.23846884991795</v>
      </c>
      <c r="R34" s="106">
        <v>140541007</v>
      </c>
      <c r="S34" s="108">
        <v>3269010</v>
      </c>
      <c r="T34" s="108">
        <f t="shared" si="6"/>
        <v>143810017</v>
      </c>
      <c r="U34" s="40">
        <f t="shared" si="7"/>
        <v>0.2182417538878335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420669286</v>
      </c>
      <c r="AA34" s="79">
        <f t="shared" si="11"/>
        <v>8535926</v>
      </c>
      <c r="AB34" s="79">
        <f t="shared" si="12"/>
        <v>429205212</v>
      </c>
      <c r="AC34" s="40">
        <f t="shared" si="13"/>
        <v>0.6513489129528397</v>
      </c>
      <c r="AD34" s="78">
        <v>154014585</v>
      </c>
      <c r="AE34" s="79">
        <v>16055157</v>
      </c>
      <c r="AF34" s="79">
        <f t="shared" si="14"/>
        <v>170069742</v>
      </c>
      <c r="AG34" s="40">
        <f>IF(668902791=0,0,462758219/668902791)</f>
        <v>0.6918168457754275</v>
      </c>
      <c r="AH34" s="40">
        <f t="shared" si="15"/>
        <v>-0.1544056261342479</v>
      </c>
      <c r="AI34" s="12">
        <v>659843190</v>
      </c>
      <c r="AJ34" s="12">
        <v>668902791</v>
      </c>
      <c r="AK34" s="12">
        <v>462758219</v>
      </c>
      <c r="AL34" s="12"/>
    </row>
    <row r="35" spans="1:38" s="13" customFormat="1" ht="12.75">
      <c r="A35" s="29" t="s">
        <v>95</v>
      </c>
      <c r="B35" s="61" t="s">
        <v>532</v>
      </c>
      <c r="C35" s="39" t="s">
        <v>533</v>
      </c>
      <c r="D35" s="78">
        <v>55477856</v>
      </c>
      <c r="E35" s="79">
        <v>16905000</v>
      </c>
      <c r="F35" s="80">
        <f t="shared" si="0"/>
        <v>72382856</v>
      </c>
      <c r="G35" s="78">
        <v>61695149</v>
      </c>
      <c r="H35" s="79">
        <v>16905000</v>
      </c>
      <c r="I35" s="81">
        <f t="shared" si="1"/>
        <v>78600149</v>
      </c>
      <c r="J35" s="78">
        <v>8808892</v>
      </c>
      <c r="K35" s="79">
        <v>4615254</v>
      </c>
      <c r="L35" s="79">
        <f t="shared" si="2"/>
        <v>13424146</v>
      </c>
      <c r="M35" s="40">
        <f t="shared" si="3"/>
        <v>0.18546029739417852</v>
      </c>
      <c r="N35" s="106">
        <v>9215372</v>
      </c>
      <c r="O35" s="107">
        <v>2905738</v>
      </c>
      <c r="P35" s="108">
        <f t="shared" si="4"/>
        <v>12121110</v>
      </c>
      <c r="Q35" s="40">
        <f t="shared" si="5"/>
        <v>0.16745829979408383</v>
      </c>
      <c r="R35" s="106">
        <v>5940134</v>
      </c>
      <c r="S35" s="108">
        <v>4077420</v>
      </c>
      <c r="T35" s="108">
        <f t="shared" si="6"/>
        <v>10017554</v>
      </c>
      <c r="U35" s="40">
        <f t="shared" si="7"/>
        <v>0.12744955483481335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23964398</v>
      </c>
      <c r="AA35" s="79">
        <f t="shared" si="11"/>
        <v>11598412</v>
      </c>
      <c r="AB35" s="79">
        <f t="shared" si="12"/>
        <v>35562810</v>
      </c>
      <c r="AC35" s="40">
        <f t="shared" si="13"/>
        <v>0.45245219573311496</v>
      </c>
      <c r="AD35" s="78">
        <v>3525923</v>
      </c>
      <c r="AE35" s="79">
        <v>885900</v>
      </c>
      <c r="AF35" s="79">
        <f t="shared" si="14"/>
        <v>4411823</v>
      </c>
      <c r="AG35" s="40">
        <f>IF(75595000=0,0,35362446/75595000)</f>
        <v>0.4677881605926318</v>
      </c>
      <c r="AH35" s="40">
        <f t="shared" si="15"/>
        <v>1.2706155709329225</v>
      </c>
      <c r="AI35" s="12">
        <v>75718000</v>
      </c>
      <c r="AJ35" s="12">
        <v>75595000</v>
      </c>
      <c r="AK35" s="12">
        <v>35362446</v>
      </c>
      <c r="AL35" s="12"/>
    </row>
    <row r="36" spans="1:38" s="13" customFormat="1" ht="12.75">
      <c r="A36" s="29" t="s">
        <v>95</v>
      </c>
      <c r="B36" s="61" t="s">
        <v>534</v>
      </c>
      <c r="C36" s="39" t="s">
        <v>535</v>
      </c>
      <c r="D36" s="78">
        <v>204001986</v>
      </c>
      <c r="E36" s="79">
        <v>33150000</v>
      </c>
      <c r="F36" s="80">
        <f t="shared" si="0"/>
        <v>237151986</v>
      </c>
      <c r="G36" s="78">
        <v>207823000</v>
      </c>
      <c r="H36" s="79">
        <v>26517000</v>
      </c>
      <c r="I36" s="81">
        <f t="shared" si="1"/>
        <v>234340000</v>
      </c>
      <c r="J36" s="78">
        <v>34240138</v>
      </c>
      <c r="K36" s="79">
        <v>2879290</v>
      </c>
      <c r="L36" s="79">
        <f t="shared" si="2"/>
        <v>37119428</v>
      </c>
      <c r="M36" s="40">
        <f t="shared" si="3"/>
        <v>0.15652168310325684</v>
      </c>
      <c r="N36" s="106">
        <v>30753881</v>
      </c>
      <c r="O36" s="107">
        <v>6198129</v>
      </c>
      <c r="P36" s="108">
        <f t="shared" si="4"/>
        <v>36952010</v>
      </c>
      <c r="Q36" s="40">
        <f t="shared" si="5"/>
        <v>0.15581573076094754</v>
      </c>
      <c r="R36" s="106">
        <v>40028935</v>
      </c>
      <c r="S36" s="108">
        <v>10800955</v>
      </c>
      <c r="T36" s="108">
        <f t="shared" si="6"/>
        <v>50829890</v>
      </c>
      <c r="U36" s="40">
        <f t="shared" si="7"/>
        <v>0.21690658871724844</v>
      </c>
      <c r="V36" s="106">
        <v>0</v>
      </c>
      <c r="W36" s="108">
        <v>0</v>
      </c>
      <c r="X36" s="108">
        <f t="shared" si="8"/>
        <v>0</v>
      </c>
      <c r="Y36" s="40">
        <f t="shared" si="9"/>
        <v>0</v>
      </c>
      <c r="Z36" s="78">
        <f t="shared" si="10"/>
        <v>105022954</v>
      </c>
      <c r="AA36" s="79">
        <f t="shared" si="11"/>
        <v>19878374</v>
      </c>
      <c r="AB36" s="79">
        <f t="shared" si="12"/>
        <v>124901328</v>
      </c>
      <c r="AC36" s="40">
        <f t="shared" si="13"/>
        <v>0.5329919262609883</v>
      </c>
      <c r="AD36" s="78">
        <v>17470566</v>
      </c>
      <c r="AE36" s="79">
        <v>4842636</v>
      </c>
      <c r="AF36" s="79">
        <f t="shared" si="14"/>
        <v>22313202</v>
      </c>
      <c r="AG36" s="40">
        <f>IF(242832695=0,0,102876071/242832695)</f>
        <v>0.4236499990250489</v>
      </c>
      <c r="AH36" s="40">
        <f t="shared" si="15"/>
        <v>1.278018636679756</v>
      </c>
      <c r="AI36" s="12">
        <v>229872000</v>
      </c>
      <c r="AJ36" s="12">
        <v>242832695</v>
      </c>
      <c r="AK36" s="12">
        <v>102876071</v>
      </c>
      <c r="AL36" s="12"/>
    </row>
    <row r="37" spans="1:38" s="13" customFormat="1" ht="12.75">
      <c r="A37" s="29" t="s">
        <v>95</v>
      </c>
      <c r="B37" s="61" t="s">
        <v>536</v>
      </c>
      <c r="C37" s="39" t="s">
        <v>537</v>
      </c>
      <c r="D37" s="78">
        <v>75365545</v>
      </c>
      <c r="E37" s="79">
        <v>12707000</v>
      </c>
      <c r="F37" s="80">
        <f t="shared" si="0"/>
        <v>88072545</v>
      </c>
      <c r="G37" s="78">
        <v>75364000</v>
      </c>
      <c r="H37" s="79">
        <v>12707000</v>
      </c>
      <c r="I37" s="81">
        <f t="shared" si="1"/>
        <v>88071000</v>
      </c>
      <c r="J37" s="78">
        <v>17133788</v>
      </c>
      <c r="K37" s="79">
        <v>0</v>
      </c>
      <c r="L37" s="79">
        <f t="shared" si="2"/>
        <v>17133788</v>
      </c>
      <c r="M37" s="40">
        <f t="shared" si="3"/>
        <v>0.19454176099941248</v>
      </c>
      <c r="N37" s="106">
        <v>0</v>
      </c>
      <c r="O37" s="107">
        <v>3216606</v>
      </c>
      <c r="P37" s="108">
        <f t="shared" si="4"/>
        <v>3216606</v>
      </c>
      <c r="Q37" s="40">
        <f t="shared" si="5"/>
        <v>0.03652223289334945</v>
      </c>
      <c r="R37" s="106">
        <v>3322984</v>
      </c>
      <c r="S37" s="108">
        <v>12825</v>
      </c>
      <c r="T37" s="108">
        <f t="shared" si="6"/>
        <v>3335809</v>
      </c>
      <c r="U37" s="40">
        <f t="shared" si="7"/>
        <v>0.037876361117734555</v>
      </c>
      <c r="V37" s="106">
        <v>0</v>
      </c>
      <c r="W37" s="108">
        <v>0</v>
      </c>
      <c r="X37" s="108">
        <f t="shared" si="8"/>
        <v>0</v>
      </c>
      <c r="Y37" s="40">
        <f t="shared" si="9"/>
        <v>0</v>
      </c>
      <c r="Z37" s="78">
        <f t="shared" si="10"/>
        <v>20456772</v>
      </c>
      <c r="AA37" s="79">
        <f t="shared" si="11"/>
        <v>3229431</v>
      </c>
      <c r="AB37" s="79">
        <f t="shared" si="12"/>
        <v>23686203</v>
      </c>
      <c r="AC37" s="40">
        <f t="shared" si="13"/>
        <v>0.2689444084886058</v>
      </c>
      <c r="AD37" s="78">
        <v>4333561</v>
      </c>
      <c r="AE37" s="79">
        <v>437795</v>
      </c>
      <c r="AF37" s="79">
        <f t="shared" si="14"/>
        <v>4771356</v>
      </c>
      <c r="AG37" s="40">
        <f>IF(82686000=0,0,47269907/82686000)</f>
        <v>0.5716796918462618</v>
      </c>
      <c r="AH37" s="40">
        <f t="shared" si="15"/>
        <v>-0.30086771978448057</v>
      </c>
      <c r="AI37" s="12">
        <v>82386000</v>
      </c>
      <c r="AJ37" s="12">
        <v>82686000</v>
      </c>
      <c r="AK37" s="12">
        <v>47269907</v>
      </c>
      <c r="AL37" s="12"/>
    </row>
    <row r="38" spans="1:38" s="13" customFormat="1" ht="12.75">
      <c r="A38" s="29" t="s">
        <v>114</v>
      </c>
      <c r="B38" s="61" t="s">
        <v>538</v>
      </c>
      <c r="C38" s="39" t="s">
        <v>539</v>
      </c>
      <c r="D38" s="78">
        <v>61252062</v>
      </c>
      <c r="E38" s="79">
        <v>869684</v>
      </c>
      <c r="F38" s="80">
        <f t="shared" si="0"/>
        <v>62121746</v>
      </c>
      <c r="G38" s="78">
        <v>63873861</v>
      </c>
      <c r="H38" s="79">
        <v>602843</v>
      </c>
      <c r="I38" s="81">
        <f t="shared" si="1"/>
        <v>64476704</v>
      </c>
      <c r="J38" s="78">
        <v>13279568</v>
      </c>
      <c r="K38" s="79">
        <v>22006</v>
      </c>
      <c r="L38" s="79">
        <f t="shared" si="2"/>
        <v>13301574</v>
      </c>
      <c r="M38" s="40">
        <f t="shared" si="3"/>
        <v>0.21412105834887513</v>
      </c>
      <c r="N38" s="106">
        <v>16759285</v>
      </c>
      <c r="O38" s="107">
        <v>46822</v>
      </c>
      <c r="P38" s="108">
        <f t="shared" si="4"/>
        <v>16806107</v>
      </c>
      <c r="Q38" s="40">
        <f t="shared" si="5"/>
        <v>0.27053500717767975</v>
      </c>
      <c r="R38" s="106">
        <v>11315553</v>
      </c>
      <c r="S38" s="108">
        <v>0</v>
      </c>
      <c r="T38" s="108">
        <f t="shared" si="6"/>
        <v>11315553</v>
      </c>
      <c r="U38" s="40">
        <f t="shared" si="7"/>
        <v>0.17549831641518152</v>
      </c>
      <c r="V38" s="106">
        <v>0</v>
      </c>
      <c r="W38" s="108">
        <v>0</v>
      </c>
      <c r="X38" s="108">
        <f t="shared" si="8"/>
        <v>0</v>
      </c>
      <c r="Y38" s="40">
        <f t="shared" si="9"/>
        <v>0</v>
      </c>
      <c r="Z38" s="78">
        <f t="shared" si="10"/>
        <v>41354406</v>
      </c>
      <c r="AA38" s="79">
        <f t="shared" si="11"/>
        <v>68828</v>
      </c>
      <c r="AB38" s="79">
        <f t="shared" si="12"/>
        <v>41423234</v>
      </c>
      <c r="AC38" s="40">
        <f t="shared" si="13"/>
        <v>0.6424527221490727</v>
      </c>
      <c r="AD38" s="78">
        <v>12280933</v>
      </c>
      <c r="AE38" s="79">
        <v>32949</v>
      </c>
      <c r="AF38" s="79">
        <f t="shared" si="14"/>
        <v>12313882</v>
      </c>
      <c r="AG38" s="40">
        <f>IF(57537667=0,0,41391519/57537667)</f>
        <v>0.7193812533274941</v>
      </c>
      <c r="AH38" s="40">
        <f t="shared" si="15"/>
        <v>-0.0810734583943552</v>
      </c>
      <c r="AI38" s="12">
        <v>59655819</v>
      </c>
      <c r="AJ38" s="12">
        <v>57537667</v>
      </c>
      <c r="AK38" s="12">
        <v>41391519</v>
      </c>
      <c r="AL38" s="12"/>
    </row>
    <row r="39" spans="1:38" s="57" customFormat="1" ht="12.75">
      <c r="A39" s="62"/>
      <c r="B39" s="63" t="s">
        <v>540</v>
      </c>
      <c r="C39" s="32"/>
      <c r="D39" s="82">
        <f>SUM(D32:D38)</f>
        <v>1204353246</v>
      </c>
      <c r="E39" s="83">
        <f>SUM(E32:E38)</f>
        <v>128447392</v>
      </c>
      <c r="F39" s="91">
        <f t="shared" si="0"/>
        <v>1332800638</v>
      </c>
      <c r="G39" s="82">
        <f>SUM(G32:G38)</f>
        <v>1233392614</v>
      </c>
      <c r="H39" s="83">
        <f>SUM(H32:H38)</f>
        <v>138879023</v>
      </c>
      <c r="I39" s="84">
        <f t="shared" si="1"/>
        <v>1372271637</v>
      </c>
      <c r="J39" s="82">
        <f>SUM(J32:J38)</f>
        <v>260139267</v>
      </c>
      <c r="K39" s="83">
        <f>SUM(K32:K38)</f>
        <v>12147695</v>
      </c>
      <c r="L39" s="83">
        <f t="shared" si="2"/>
        <v>272286962</v>
      </c>
      <c r="M39" s="44">
        <f t="shared" si="3"/>
        <v>0.20429684248095326</v>
      </c>
      <c r="N39" s="112">
        <f>SUM(N32:N38)</f>
        <v>234901340</v>
      </c>
      <c r="O39" s="113">
        <f>SUM(O32:O38)</f>
        <v>20803842</v>
      </c>
      <c r="P39" s="114">
        <f t="shared" si="4"/>
        <v>255705182</v>
      </c>
      <c r="Q39" s="44">
        <f t="shared" si="5"/>
        <v>0.19185553691189033</v>
      </c>
      <c r="R39" s="112">
        <f>SUM(R32:R38)</f>
        <v>262583417</v>
      </c>
      <c r="S39" s="114">
        <f>SUM(S32:S38)</f>
        <v>30058085</v>
      </c>
      <c r="T39" s="114">
        <f t="shared" si="6"/>
        <v>292641502</v>
      </c>
      <c r="U39" s="44">
        <f t="shared" si="7"/>
        <v>0.21325333418663378</v>
      </c>
      <c r="V39" s="112">
        <f>SUM(V32:V38)</f>
        <v>0</v>
      </c>
      <c r="W39" s="114">
        <f>SUM(W32:W38)</f>
        <v>0</v>
      </c>
      <c r="X39" s="114">
        <f t="shared" si="8"/>
        <v>0</v>
      </c>
      <c r="Y39" s="44">
        <f t="shared" si="9"/>
        <v>0</v>
      </c>
      <c r="Z39" s="82">
        <f t="shared" si="10"/>
        <v>757624024</v>
      </c>
      <c r="AA39" s="83">
        <f t="shared" si="11"/>
        <v>63009622</v>
      </c>
      <c r="AB39" s="83">
        <f t="shared" si="12"/>
        <v>820633646</v>
      </c>
      <c r="AC39" s="44">
        <f t="shared" si="13"/>
        <v>0.5980110816791588</v>
      </c>
      <c r="AD39" s="82">
        <f>SUM(AD32:AD38)</f>
        <v>237662571</v>
      </c>
      <c r="AE39" s="83">
        <f>SUM(AE32:AE38)</f>
        <v>28158606</v>
      </c>
      <c r="AF39" s="83">
        <f t="shared" si="14"/>
        <v>265821177</v>
      </c>
      <c r="AG39" s="44">
        <f>IF(57537667=0,0,41391519/57537667)</f>
        <v>0.7193812533274941</v>
      </c>
      <c r="AH39" s="44">
        <f t="shared" si="15"/>
        <v>0.10089611859629977</v>
      </c>
      <c r="AI39" s="64">
        <f>SUM(AI32:AI38)</f>
        <v>1354590049</v>
      </c>
      <c r="AJ39" s="64">
        <f>SUM(AJ32:AJ38)</f>
        <v>1393127573</v>
      </c>
      <c r="AK39" s="64">
        <f>SUM(AK32:AK38)</f>
        <v>860441603</v>
      </c>
      <c r="AL39" s="64"/>
    </row>
    <row r="40" spans="1:38" s="13" customFormat="1" ht="12.75">
      <c r="A40" s="29" t="s">
        <v>95</v>
      </c>
      <c r="B40" s="61" t="s">
        <v>83</v>
      </c>
      <c r="C40" s="39" t="s">
        <v>84</v>
      </c>
      <c r="D40" s="78">
        <v>1738341779</v>
      </c>
      <c r="E40" s="79">
        <v>111708601</v>
      </c>
      <c r="F40" s="80">
        <f t="shared" si="0"/>
        <v>1850050380</v>
      </c>
      <c r="G40" s="78">
        <v>1753816170</v>
      </c>
      <c r="H40" s="79">
        <v>201018000</v>
      </c>
      <c r="I40" s="81">
        <f t="shared" si="1"/>
        <v>1954834170</v>
      </c>
      <c r="J40" s="78">
        <v>475103945</v>
      </c>
      <c r="K40" s="79">
        <v>20670891</v>
      </c>
      <c r="L40" s="79">
        <f t="shared" si="2"/>
        <v>495774836</v>
      </c>
      <c r="M40" s="40">
        <f t="shared" si="3"/>
        <v>0.2679791001151007</v>
      </c>
      <c r="N40" s="106">
        <v>370164735</v>
      </c>
      <c r="O40" s="107">
        <v>37167344</v>
      </c>
      <c r="P40" s="108">
        <f t="shared" si="4"/>
        <v>407332079</v>
      </c>
      <c r="Q40" s="40">
        <f t="shared" si="5"/>
        <v>0.2201735063020284</v>
      </c>
      <c r="R40" s="106">
        <v>326460836</v>
      </c>
      <c r="S40" s="108">
        <v>23126646</v>
      </c>
      <c r="T40" s="108">
        <f t="shared" si="6"/>
        <v>349587482</v>
      </c>
      <c r="U40" s="40">
        <f t="shared" si="7"/>
        <v>0.17883229552919058</v>
      </c>
      <c r="V40" s="106">
        <v>0</v>
      </c>
      <c r="W40" s="108">
        <v>0</v>
      </c>
      <c r="X40" s="108">
        <f t="shared" si="8"/>
        <v>0</v>
      </c>
      <c r="Y40" s="40">
        <f t="shared" si="9"/>
        <v>0</v>
      </c>
      <c r="Z40" s="78">
        <f t="shared" si="10"/>
        <v>1171729516</v>
      </c>
      <c r="AA40" s="79">
        <f t="shared" si="11"/>
        <v>80964881</v>
      </c>
      <c r="AB40" s="79">
        <f t="shared" si="12"/>
        <v>1252694397</v>
      </c>
      <c r="AC40" s="40">
        <f t="shared" si="13"/>
        <v>0.6408187539508786</v>
      </c>
      <c r="AD40" s="78">
        <v>314628679</v>
      </c>
      <c r="AE40" s="79">
        <v>26949098</v>
      </c>
      <c r="AF40" s="79">
        <f t="shared" si="14"/>
        <v>341577777</v>
      </c>
      <c r="AG40" s="40">
        <f>IF(1947332833=0,0,1261994159/1947332833)</f>
        <v>0.648062897936051</v>
      </c>
      <c r="AH40" s="40">
        <f t="shared" si="15"/>
        <v>0.023449139666952057</v>
      </c>
      <c r="AI40" s="12">
        <v>1763766005</v>
      </c>
      <c r="AJ40" s="12">
        <v>1947332833</v>
      </c>
      <c r="AK40" s="12">
        <v>1261994159</v>
      </c>
      <c r="AL40" s="12"/>
    </row>
    <row r="41" spans="1:38" s="13" customFormat="1" ht="12.75">
      <c r="A41" s="29" t="s">
        <v>95</v>
      </c>
      <c r="B41" s="61" t="s">
        <v>541</v>
      </c>
      <c r="C41" s="39" t="s">
        <v>542</v>
      </c>
      <c r="D41" s="78">
        <v>163742510</v>
      </c>
      <c r="E41" s="79">
        <v>40974000</v>
      </c>
      <c r="F41" s="80">
        <f t="shared" si="0"/>
        <v>204716510</v>
      </c>
      <c r="G41" s="78">
        <v>163742510</v>
      </c>
      <c r="H41" s="79">
        <v>40974000</v>
      </c>
      <c r="I41" s="81">
        <f t="shared" si="1"/>
        <v>204716510</v>
      </c>
      <c r="J41" s="78">
        <v>15089057</v>
      </c>
      <c r="K41" s="79">
        <v>0</v>
      </c>
      <c r="L41" s="79">
        <f t="shared" si="2"/>
        <v>15089057</v>
      </c>
      <c r="M41" s="40">
        <f t="shared" si="3"/>
        <v>0.07370708400607259</v>
      </c>
      <c r="N41" s="106">
        <v>14282346</v>
      </c>
      <c r="O41" s="107">
        <v>3102459</v>
      </c>
      <c r="P41" s="108">
        <f t="shared" si="4"/>
        <v>17384805</v>
      </c>
      <c r="Q41" s="40">
        <f t="shared" si="5"/>
        <v>0.08492136271764304</v>
      </c>
      <c r="R41" s="106">
        <v>4837368</v>
      </c>
      <c r="S41" s="108">
        <v>4274700</v>
      </c>
      <c r="T41" s="108">
        <f t="shared" si="6"/>
        <v>9112068</v>
      </c>
      <c r="U41" s="40">
        <f t="shared" si="7"/>
        <v>0.04451066501671018</v>
      </c>
      <c r="V41" s="106">
        <v>0</v>
      </c>
      <c r="W41" s="108">
        <v>0</v>
      </c>
      <c r="X41" s="108">
        <f t="shared" si="8"/>
        <v>0</v>
      </c>
      <c r="Y41" s="40">
        <f t="shared" si="9"/>
        <v>0</v>
      </c>
      <c r="Z41" s="78">
        <f t="shared" si="10"/>
        <v>34208771</v>
      </c>
      <c r="AA41" s="79">
        <f t="shared" si="11"/>
        <v>7377159</v>
      </c>
      <c r="AB41" s="79">
        <f t="shared" si="12"/>
        <v>41585930</v>
      </c>
      <c r="AC41" s="40">
        <f t="shared" si="13"/>
        <v>0.20313911174042582</v>
      </c>
      <c r="AD41" s="78">
        <v>15116097</v>
      </c>
      <c r="AE41" s="79">
        <v>2327790</v>
      </c>
      <c r="AF41" s="79">
        <f t="shared" si="14"/>
        <v>17443887</v>
      </c>
      <c r="AG41" s="40">
        <f>IF(141503238=0,0,69294847/141503238)</f>
        <v>0.48970502710333735</v>
      </c>
      <c r="AH41" s="40">
        <f t="shared" si="15"/>
        <v>-0.4776354604911165</v>
      </c>
      <c r="AI41" s="12">
        <v>133536164</v>
      </c>
      <c r="AJ41" s="12">
        <v>141503238</v>
      </c>
      <c r="AK41" s="12">
        <v>69294847</v>
      </c>
      <c r="AL41" s="12"/>
    </row>
    <row r="42" spans="1:38" s="13" customFormat="1" ht="12.75">
      <c r="A42" s="29" t="s">
        <v>95</v>
      </c>
      <c r="B42" s="61" t="s">
        <v>543</v>
      </c>
      <c r="C42" s="39" t="s">
        <v>544</v>
      </c>
      <c r="D42" s="78">
        <v>83713035</v>
      </c>
      <c r="E42" s="79">
        <v>13939000</v>
      </c>
      <c r="F42" s="80">
        <f t="shared" si="0"/>
        <v>97652035</v>
      </c>
      <c r="G42" s="78">
        <v>83713035</v>
      </c>
      <c r="H42" s="79">
        <v>13939000</v>
      </c>
      <c r="I42" s="81">
        <f t="shared" si="1"/>
        <v>97652035</v>
      </c>
      <c r="J42" s="78">
        <v>14611917</v>
      </c>
      <c r="K42" s="79">
        <v>54076</v>
      </c>
      <c r="L42" s="79">
        <f t="shared" si="2"/>
        <v>14665993</v>
      </c>
      <c r="M42" s="40">
        <f t="shared" si="3"/>
        <v>0.15018625059887386</v>
      </c>
      <c r="N42" s="106">
        <v>8514182</v>
      </c>
      <c r="O42" s="107">
        <v>431188</v>
      </c>
      <c r="P42" s="108">
        <f t="shared" si="4"/>
        <v>8945370</v>
      </c>
      <c r="Q42" s="40">
        <f t="shared" si="5"/>
        <v>0.09160454259862583</v>
      </c>
      <c r="R42" s="106">
        <v>19132342</v>
      </c>
      <c r="S42" s="108">
        <v>5287040</v>
      </c>
      <c r="T42" s="108">
        <f t="shared" si="6"/>
        <v>24419382</v>
      </c>
      <c r="U42" s="40">
        <f t="shared" si="7"/>
        <v>0.25006526489693737</v>
      </c>
      <c r="V42" s="106">
        <v>0</v>
      </c>
      <c r="W42" s="108">
        <v>0</v>
      </c>
      <c r="X42" s="108">
        <f t="shared" si="8"/>
        <v>0</v>
      </c>
      <c r="Y42" s="40">
        <f t="shared" si="9"/>
        <v>0</v>
      </c>
      <c r="Z42" s="78">
        <f t="shared" si="10"/>
        <v>42258441</v>
      </c>
      <c r="AA42" s="79">
        <f t="shared" si="11"/>
        <v>5772304</v>
      </c>
      <c r="AB42" s="79">
        <f t="shared" si="12"/>
        <v>48030745</v>
      </c>
      <c r="AC42" s="40">
        <f t="shared" si="13"/>
        <v>0.49185605809443705</v>
      </c>
      <c r="AD42" s="78">
        <v>9389925</v>
      </c>
      <c r="AE42" s="79">
        <v>3280241</v>
      </c>
      <c r="AF42" s="79">
        <f t="shared" si="14"/>
        <v>12670166</v>
      </c>
      <c r="AG42" s="40">
        <f>IF(127349283=0,0,66694273/127349283)</f>
        <v>0.5237114134360694</v>
      </c>
      <c r="AH42" s="40">
        <f t="shared" si="15"/>
        <v>0.9273135016542009</v>
      </c>
      <c r="AI42" s="12">
        <v>137575145</v>
      </c>
      <c r="AJ42" s="12">
        <v>127349283</v>
      </c>
      <c r="AK42" s="12">
        <v>66694273</v>
      </c>
      <c r="AL42" s="12"/>
    </row>
    <row r="43" spans="1:38" s="13" customFormat="1" ht="12.75">
      <c r="A43" s="29" t="s">
        <v>95</v>
      </c>
      <c r="B43" s="61" t="s">
        <v>545</v>
      </c>
      <c r="C43" s="39" t="s">
        <v>546</v>
      </c>
      <c r="D43" s="78">
        <v>239421565</v>
      </c>
      <c r="E43" s="79">
        <v>55282005</v>
      </c>
      <c r="F43" s="81">
        <f t="shared" si="0"/>
        <v>294703570</v>
      </c>
      <c r="G43" s="78">
        <v>278424037</v>
      </c>
      <c r="H43" s="79">
        <v>67000147</v>
      </c>
      <c r="I43" s="80">
        <f t="shared" si="1"/>
        <v>345424184</v>
      </c>
      <c r="J43" s="78">
        <v>33606334</v>
      </c>
      <c r="K43" s="92">
        <v>15137668</v>
      </c>
      <c r="L43" s="79">
        <f t="shared" si="2"/>
        <v>48744002</v>
      </c>
      <c r="M43" s="40">
        <f t="shared" si="3"/>
        <v>0.1654001069617175</v>
      </c>
      <c r="N43" s="106">
        <v>51254767</v>
      </c>
      <c r="O43" s="107">
        <v>14233850</v>
      </c>
      <c r="P43" s="108">
        <f t="shared" si="4"/>
        <v>65488617</v>
      </c>
      <c r="Q43" s="40">
        <f t="shared" si="5"/>
        <v>0.22221860766735876</v>
      </c>
      <c r="R43" s="106">
        <v>60333252</v>
      </c>
      <c r="S43" s="108">
        <v>9107435</v>
      </c>
      <c r="T43" s="108">
        <f t="shared" si="6"/>
        <v>69440687</v>
      </c>
      <c r="U43" s="40">
        <f t="shared" si="7"/>
        <v>0.2010301832253876</v>
      </c>
      <c r="V43" s="106">
        <v>0</v>
      </c>
      <c r="W43" s="108">
        <v>0</v>
      </c>
      <c r="X43" s="108">
        <f t="shared" si="8"/>
        <v>0</v>
      </c>
      <c r="Y43" s="40">
        <f t="shared" si="9"/>
        <v>0</v>
      </c>
      <c r="Z43" s="78">
        <f t="shared" si="10"/>
        <v>145194353</v>
      </c>
      <c r="AA43" s="79">
        <f t="shared" si="11"/>
        <v>38478953</v>
      </c>
      <c r="AB43" s="79">
        <f t="shared" si="12"/>
        <v>183673306</v>
      </c>
      <c r="AC43" s="40">
        <f t="shared" si="13"/>
        <v>0.5317326189297736</v>
      </c>
      <c r="AD43" s="78">
        <v>38094189</v>
      </c>
      <c r="AE43" s="79">
        <v>8145340</v>
      </c>
      <c r="AF43" s="79">
        <f t="shared" si="14"/>
        <v>46239529</v>
      </c>
      <c r="AG43" s="40">
        <f>IF(278145315=0,0,168736902/278145315)</f>
        <v>0.6066501677369616</v>
      </c>
      <c r="AH43" s="40">
        <f t="shared" si="15"/>
        <v>0.5017602579818665</v>
      </c>
      <c r="AI43" s="12">
        <v>320105278</v>
      </c>
      <c r="AJ43" s="12">
        <v>278145315</v>
      </c>
      <c r="AK43" s="12">
        <v>168736902</v>
      </c>
      <c r="AL43" s="12"/>
    </row>
    <row r="44" spans="1:38" s="13" customFormat="1" ht="12.75">
      <c r="A44" s="29" t="s">
        <v>114</v>
      </c>
      <c r="B44" s="61" t="s">
        <v>547</v>
      </c>
      <c r="C44" s="39" t="s">
        <v>548</v>
      </c>
      <c r="D44" s="78">
        <v>155101908</v>
      </c>
      <c r="E44" s="79">
        <v>13555171</v>
      </c>
      <c r="F44" s="81">
        <f t="shared" si="0"/>
        <v>168657079</v>
      </c>
      <c r="G44" s="78">
        <v>164764174</v>
      </c>
      <c r="H44" s="79">
        <v>11534417</v>
      </c>
      <c r="I44" s="80">
        <f t="shared" si="1"/>
        <v>176298591</v>
      </c>
      <c r="J44" s="78">
        <v>17993819</v>
      </c>
      <c r="K44" s="92">
        <v>154489</v>
      </c>
      <c r="L44" s="79">
        <f t="shared" si="2"/>
        <v>18148308</v>
      </c>
      <c r="M44" s="40">
        <f t="shared" si="3"/>
        <v>0.1076047807041648</v>
      </c>
      <c r="N44" s="106">
        <v>28994175</v>
      </c>
      <c r="O44" s="107">
        <v>941295</v>
      </c>
      <c r="P44" s="108">
        <f t="shared" si="4"/>
        <v>29935470</v>
      </c>
      <c r="Q44" s="40">
        <f t="shared" si="5"/>
        <v>0.177493113111487</v>
      </c>
      <c r="R44" s="106">
        <v>29864661</v>
      </c>
      <c r="S44" s="108">
        <v>1863385</v>
      </c>
      <c r="T44" s="108">
        <f t="shared" si="6"/>
        <v>31728046</v>
      </c>
      <c r="U44" s="40">
        <f t="shared" si="7"/>
        <v>0.17996766633262543</v>
      </c>
      <c r="V44" s="106">
        <v>0</v>
      </c>
      <c r="W44" s="108">
        <v>0</v>
      </c>
      <c r="X44" s="108">
        <f t="shared" si="8"/>
        <v>0</v>
      </c>
      <c r="Y44" s="40">
        <f t="shared" si="9"/>
        <v>0</v>
      </c>
      <c r="Z44" s="78">
        <f t="shared" si="10"/>
        <v>76852655</v>
      </c>
      <c r="AA44" s="79">
        <f t="shared" si="11"/>
        <v>2959169</v>
      </c>
      <c r="AB44" s="79">
        <f t="shared" si="12"/>
        <v>79811824</v>
      </c>
      <c r="AC44" s="40">
        <f t="shared" si="13"/>
        <v>0.4527082352008134</v>
      </c>
      <c r="AD44" s="78">
        <v>26338319</v>
      </c>
      <c r="AE44" s="79">
        <v>352637</v>
      </c>
      <c r="AF44" s="79">
        <f t="shared" si="14"/>
        <v>26690956</v>
      </c>
      <c r="AG44" s="40">
        <f>IF(139570120=0,0,74303290/139570120)</f>
        <v>0.5323724734205287</v>
      </c>
      <c r="AH44" s="40">
        <f t="shared" si="15"/>
        <v>0.18871898031677836</v>
      </c>
      <c r="AI44" s="12">
        <v>137970920</v>
      </c>
      <c r="AJ44" s="12">
        <v>139570120</v>
      </c>
      <c r="AK44" s="12">
        <v>74303290</v>
      </c>
      <c r="AL44" s="12"/>
    </row>
    <row r="45" spans="1:38" s="57" customFormat="1" ht="12.75">
      <c r="A45" s="62"/>
      <c r="B45" s="63" t="s">
        <v>549</v>
      </c>
      <c r="C45" s="32"/>
      <c r="D45" s="82">
        <f>SUM(D40:D44)</f>
        <v>2380320797</v>
      </c>
      <c r="E45" s="83">
        <f>SUM(E40:E44)</f>
        <v>235458777</v>
      </c>
      <c r="F45" s="91">
        <f t="shared" si="0"/>
        <v>2615779574</v>
      </c>
      <c r="G45" s="82">
        <f>SUM(G40:G44)</f>
        <v>2444459926</v>
      </c>
      <c r="H45" s="83">
        <f>SUM(H40:H44)</f>
        <v>334465564</v>
      </c>
      <c r="I45" s="84">
        <f t="shared" si="1"/>
        <v>2778925490</v>
      </c>
      <c r="J45" s="82">
        <f>SUM(J40:J44)</f>
        <v>556405072</v>
      </c>
      <c r="K45" s="83">
        <f>SUM(K40:K44)</f>
        <v>36017124</v>
      </c>
      <c r="L45" s="83">
        <f t="shared" si="2"/>
        <v>592422196</v>
      </c>
      <c r="M45" s="44">
        <f t="shared" si="3"/>
        <v>0.22648016747606883</v>
      </c>
      <c r="N45" s="112">
        <f>SUM(N40:N44)</f>
        <v>473210205</v>
      </c>
      <c r="O45" s="113">
        <f>SUM(O40:O44)</f>
        <v>55876136</v>
      </c>
      <c r="P45" s="114">
        <f t="shared" si="4"/>
        <v>529086341</v>
      </c>
      <c r="Q45" s="44">
        <f t="shared" si="5"/>
        <v>0.2022671735259907</v>
      </c>
      <c r="R45" s="112">
        <f>SUM(R40:R44)</f>
        <v>440628459</v>
      </c>
      <c r="S45" s="114">
        <f>SUM(S40:S44)</f>
        <v>43659206</v>
      </c>
      <c r="T45" s="114">
        <f t="shared" si="6"/>
        <v>484287665</v>
      </c>
      <c r="U45" s="44">
        <f t="shared" si="7"/>
        <v>0.1742715545064866</v>
      </c>
      <c r="V45" s="112">
        <f>SUM(V40:V44)</f>
        <v>0</v>
      </c>
      <c r="W45" s="114">
        <f>SUM(W40:W44)</f>
        <v>0</v>
      </c>
      <c r="X45" s="114">
        <f t="shared" si="8"/>
        <v>0</v>
      </c>
      <c r="Y45" s="44">
        <f t="shared" si="9"/>
        <v>0</v>
      </c>
      <c r="Z45" s="82">
        <f t="shared" si="10"/>
        <v>1470243736</v>
      </c>
      <c r="AA45" s="83">
        <f t="shared" si="11"/>
        <v>135552466</v>
      </c>
      <c r="AB45" s="83">
        <f t="shared" si="12"/>
        <v>1605796202</v>
      </c>
      <c r="AC45" s="44">
        <f t="shared" si="13"/>
        <v>0.5778478796133537</v>
      </c>
      <c r="AD45" s="82">
        <f>SUM(AD40:AD44)</f>
        <v>403567209</v>
      </c>
      <c r="AE45" s="83">
        <f>SUM(AE40:AE44)</f>
        <v>41055106</v>
      </c>
      <c r="AF45" s="83">
        <f t="shared" si="14"/>
        <v>444622315</v>
      </c>
      <c r="AG45" s="44">
        <f>IF(139570120=0,0,74303290/139570120)</f>
        <v>0.5323724734205287</v>
      </c>
      <c r="AH45" s="44">
        <f t="shared" si="15"/>
        <v>0.08921133434339668</v>
      </c>
      <c r="AI45" s="64">
        <f>SUM(AI40:AI44)</f>
        <v>2492953512</v>
      </c>
      <c r="AJ45" s="64">
        <f>SUM(AJ40:AJ44)</f>
        <v>2633900789</v>
      </c>
      <c r="AK45" s="64">
        <f>SUM(AK40:AK44)</f>
        <v>1641023471</v>
      </c>
      <c r="AL45" s="64"/>
    </row>
    <row r="46" spans="1:38" s="57" customFormat="1" ht="12.75">
      <c r="A46" s="62"/>
      <c r="B46" s="63" t="s">
        <v>550</v>
      </c>
      <c r="C46" s="32"/>
      <c r="D46" s="82">
        <f>SUM(D9:D12,D14:D20,D22:D30,D32:D38,D40:D44)</f>
        <v>6294281233</v>
      </c>
      <c r="E46" s="83">
        <f>SUM(E9:E12,E14:E20,E22:E30,E32:E38,E40:E44)</f>
        <v>1288637872</v>
      </c>
      <c r="F46" s="91">
        <f t="shared" si="0"/>
        <v>7582919105</v>
      </c>
      <c r="G46" s="82">
        <f>SUM(G9:G12,G14:G20,G22:G30,G32:G38,G40:G44)</f>
        <v>6410387067</v>
      </c>
      <c r="H46" s="83">
        <f>SUM(H9:H12,H14:H20,H22:H30,H32:H38,H40:H44)</f>
        <v>1112146468</v>
      </c>
      <c r="I46" s="84">
        <f t="shared" si="1"/>
        <v>7522533535</v>
      </c>
      <c r="J46" s="82">
        <f>SUM(J9:J12,J14:J20,J22:J30,J32:J38,J40:J44)</f>
        <v>1332789411</v>
      </c>
      <c r="K46" s="83">
        <f>SUM(K9:K12,K14:K20,K22:K30,K32:K38,K40:K44)</f>
        <v>132884951</v>
      </c>
      <c r="L46" s="83">
        <f t="shared" si="2"/>
        <v>1465674362</v>
      </c>
      <c r="M46" s="44">
        <f t="shared" si="3"/>
        <v>0.19328629802124206</v>
      </c>
      <c r="N46" s="112">
        <f>SUM(N9:N12,N14:N20,N22:N30,N32:N38,N40:N44)</f>
        <v>1198583828</v>
      </c>
      <c r="O46" s="113">
        <f>SUM(O9:O12,O14:O20,O22:O30,O32:O38,O40:O44)</f>
        <v>237186025</v>
      </c>
      <c r="P46" s="114">
        <f t="shared" si="4"/>
        <v>1435769853</v>
      </c>
      <c r="Q46" s="44">
        <f t="shared" si="5"/>
        <v>0.18934263086801056</v>
      </c>
      <c r="R46" s="112">
        <f>SUM(R9:R12,R14:R20,R22:R30,R32:R38,R40:R44)</f>
        <v>1288571396</v>
      </c>
      <c r="S46" s="114">
        <f>SUM(S9:S12,S14:S20,S22:S30,S32:S38,S40:S44)</f>
        <v>185840491</v>
      </c>
      <c r="T46" s="114">
        <f t="shared" si="6"/>
        <v>1474411887</v>
      </c>
      <c r="U46" s="44">
        <f t="shared" si="7"/>
        <v>0.19599937709018136</v>
      </c>
      <c r="V46" s="112">
        <f>SUM(V9:V12,V14:V20,V22:V30,V32:V38,V40:V44)</f>
        <v>0</v>
      </c>
      <c r="W46" s="114">
        <f>SUM(W9:W12,W14:W20,W22:W30,W32:W38,W40:W44)</f>
        <v>0</v>
      </c>
      <c r="X46" s="114">
        <f t="shared" si="8"/>
        <v>0</v>
      </c>
      <c r="Y46" s="44">
        <f t="shared" si="9"/>
        <v>0</v>
      </c>
      <c r="Z46" s="82">
        <f t="shared" si="10"/>
        <v>3819944635</v>
      </c>
      <c r="AA46" s="83">
        <f t="shared" si="11"/>
        <v>555911467</v>
      </c>
      <c r="AB46" s="83">
        <f t="shared" si="12"/>
        <v>4375856102</v>
      </c>
      <c r="AC46" s="44">
        <f t="shared" si="13"/>
        <v>0.581699779953191</v>
      </c>
      <c r="AD46" s="82">
        <f>SUM(AD9:AD12,AD14:AD20,AD22:AD30,AD32:AD38,AD40:AD44)</f>
        <v>1122024154</v>
      </c>
      <c r="AE46" s="83">
        <f>SUM(AE9:AE12,AE14:AE20,AE22:AE30,AE32:AE38,AE40:AE44)</f>
        <v>161980817</v>
      </c>
      <c r="AF46" s="83">
        <f t="shared" si="14"/>
        <v>1284004971</v>
      </c>
      <c r="AG46" s="44">
        <f>IF(139570120=0,0,74303290/139570120)</f>
        <v>0.5323724734205287</v>
      </c>
      <c r="AH46" s="44">
        <f t="shared" si="15"/>
        <v>0.14829141654467937</v>
      </c>
      <c r="AI46" s="64">
        <f>SUM(AI9:AI12,AI14:AI20,AI22:AI30,AI32:AI38,AI40:AI44)</f>
        <v>7071922878</v>
      </c>
      <c r="AJ46" s="64">
        <f>SUM(AJ9:AJ12,AJ14:AJ20,AJ22:AJ30,AJ32:AJ38,AJ40:AJ44)</f>
        <v>7134623279</v>
      </c>
      <c r="AK46" s="64">
        <f>SUM(AK9:AK12,AK14:AK20,AK22:AK30,AK32:AK38,AK40:AK44)</f>
        <v>4305820700</v>
      </c>
      <c r="AL46" s="64"/>
    </row>
    <row r="47" spans="1:38" s="13" customFormat="1" ht="12.75">
      <c r="A47" s="65"/>
      <c r="B47" s="66"/>
      <c r="C47" s="67"/>
      <c r="D47" s="94"/>
      <c r="E47" s="94"/>
      <c r="F47" s="95"/>
      <c r="G47" s="96"/>
      <c r="H47" s="94"/>
      <c r="I47" s="97"/>
      <c r="J47" s="96"/>
      <c r="K47" s="98"/>
      <c r="L47" s="94"/>
      <c r="M47" s="71"/>
      <c r="N47" s="96"/>
      <c r="O47" s="98"/>
      <c r="P47" s="94"/>
      <c r="Q47" s="71"/>
      <c r="R47" s="96"/>
      <c r="S47" s="98"/>
      <c r="T47" s="94"/>
      <c r="U47" s="71"/>
      <c r="V47" s="96"/>
      <c r="W47" s="98"/>
      <c r="X47" s="94"/>
      <c r="Y47" s="71"/>
      <c r="Z47" s="96"/>
      <c r="AA47" s="98"/>
      <c r="AB47" s="94"/>
      <c r="AC47" s="71"/>
      <c r="AD47" s="96"/>
      <c r="AE47" s="94"/>
      <c r="AF47" s="94"/>
      <c r="AG47" s="71"/>
      <c r="AH47" s="71"/>
      <c r="AI47" s="12"/>
      <c r="AJ47" s="12"/>
      <c r="AK47" s="12"/>
      <c r="AL47" s="12"/>
    </row>
    <row r="48" spans="1:38" s="74" customFormat="1" ht="12" customHeight="1">
      <c r="A48" s="76"/>
      <c r="B48" s="76"/>
      <c r="C48" s="76"/>
      <c r="D48" s="99"/>
      <c r="E48" s="99"/>
      <c r="F48" s="99"/>
      <c r="G48" s="99"/>
      <c r="H48" s="99"/>
      <c r="I48" s="99"/>
      <c r="J48" s="99"/>
      <c r="K48" s="99"/>
      <c r="L48" s="99"/>
      <c r="M48" s="76"/>
      <c r="N48" s="99"/>
      <c r="O48" s="99"/>
      <c r="P48" s="99"/>
      <c r="Q48" s="76"/>
      <c r="R48" s="99"/>
      <c r="S48" s="99"/>
      <c r="T48" s="99"/>
      <c r="U48" s="76"/>
      <c r="V48" s="99"/>
      <c r="W48" s="99"/>
      <c r="X48" s="99"/>
      <c r="Y48" s="76"/>
      <c r="Z48" s="99"/>
      <c r="AA48" s="99"/>
      <c r="AB48" s="99"/>
      <c r="AC48" s="76"/>
      <c r="AD48" s="99"/>
      <c r="AE48" s="99"/>
      <c r="AF48" s="99"/>
      <c r="AG48" s="76"/>
      <c r="AH48" s="76"/>
      <c r="AI48" s="76"/>
      <c r="AJ48" s="76"/>
      <c r="AK48" s="76"/>
      <c r="AL48" s="76"/>
    </row>
    <row r="49" spans="1:38" s="74" customFormat="1" ht="12.75">
      <c r="A49" s="76"/>
      <c r="B49" s="76"/>
      <c r="C49" s="76"/>
      <c r="D49" s="99"/>
      <c r="E49" s="99"/>
      <c r="F49" s="99"/>
      <c r="G49" s="99"/>
      <c r="H49" s="99"/>
      <c r="I49" s="99"/>
      <c r="J49" s="99"/>
      <c r="K49" s="99"/>
      <c r="L49" s="99"/>
      <c r="M49" s="76"/>
      <c r="N49" s="99"/>
      <c r="O49" s="99"/>
      <c r="P49" s="99"/>
      <c r="Q49" s="76"/>
      <c r="R49" s="99"/>
      <c r="S49" s="99"/>
      <c r="T49" s="99"/>
      <c r="U49" s="76"/>
      <c r="V49" s="99"/>
      <c r="W49" s="99"/>
      <c r="X49" s="99"/>
      <c r="Y49" s="76"/>
      <c r="Z49" s="99"/>
      <c r="AA49" s="99"/>
      <c r="AB49" s="99"/>
      <c r="AC49" s="76"/>
      <c r="AD49" s="99"/>
      <c r="AE49" s="99"/>
      <c r="AF49" s="99"/>
      <c r="AG49" s="76"/>
      <c r="AH49" s="76"/>
      <c r="AI49" s="76"/>
      <c r="AJ49" s="76"/>
      <c r="AK49" s="76"/>
      <c r="AL49" s="76"/>
    </row>
    <row r="50" spans="1:38" s="74" customFormat="1" ht="12.75">
      <c r="A50" s="76"/>
      <c r="B50" s="76"/>
      <c r="C50" s="76"/>
      <c r="D50" s="99"/>
      <c r="E50" s="99"/>
      <c r="F50" s="99"/>
      <c r="G50" s="99"/>
      <c r="H50" s="99"/>
      <c r="I50" s="99"/>
      <c r="J50" s="99"/>
      <c r="K50" s="99"/>
      <c r="L50" s="99"/>
      <c r="M50" s="76"/>
      <c r="N50" s="99"/>
      <c r="O50" s="99"/>
      <c r="P50" s="99"/>
      <c r="Q50" s="76"/>
      <c r="R50" s="99"/>
      <c r="S50" s="99"/>
      <c r="T50" s="99"/>
      <c r="U50" s="76"/>
      <c r="V50" s="99"/>
      <c r="W50" s="99"/>
      <c r="X50" s="99"/>
      <c r="Y50" s="76"/>
      <c r="Z50" s="99"/>
      <c r="AA50" s="99"/>
      <c r="AB50" s="99"/>
      <c r="AC50" s="76"/>
      <c r="AD50" s="99"/>
      <c r="AE50" s="99"/>
      <c r="AF50" s="99"/>
      <c r="AG50" s="76"/>
      <c r="AH50" s="76"/>
      <c r="AI50" s="76"/>
      <c r="AJ50" s="76"/>
      <c r="AK50" s="76"/>
      <c r="AL50" s="76"/>
    </row>
    <row r="51" spans="1:38" s="75" customFormat="1" ht="12.75">
      <c r="A51" s="77"/>
      <c r="B51" s="77"/>
      <c r="C51" s="77"/>
      <c r="D51" s="100"/>
      <c r="E51" s="100"/>
      <c r="F51" s="100"/>
      <c r="G51" s="100"/>
      <c r="H51" s="100"/>
      <c r="I51" s="100"/>
      <c r="J51" s="100"/>
      <c r="K51" s="100"/>
      <c r="L51" s="100"/>
      <c r="M51" s="77"/>
      <c r="N51" s="100"/>
      <c r="O51" s="100"/>
      <c r="P51" s="100"/>
      <c r="Q51" s="77"/>
      <c r="R51" s="100"/>
      <c r="S51" s="100"/>
      <c r="T51" s="100"/>
      <c r="U51" s="77"/>
      <c r="V51" s="100"/>
      <c r="W51" s="100"/>
      <c r="X51" s="100"/>
      <c r="Y51" s="77"/>
      <c r="Z51" s="100"/>
      <c r="AA51" s="100"/>
      <c r="AB51" s="100"/>
      <c r="AC51" s="77"/>
      <c r="AD51" s="100"/>
      <c r="AE51" s="100"/>
      <c r="AF51" s="100"/>
      <c r="AG51" s="77"/>
      <c r="AH51" s="77"/>
      <c r="AI51" s="77"/>
      <c r="AJ51" s="77"/>
      <c r="AK51" s="77"/>
      <c r="AL51" s="77"/>
    </row>
    <row r="52" spans="1:38" s="75" customFormat="1" ht="12.75">
      <c r="A52" s="77"/>
      <c r="B52" s="77"/>
      <c r="C52" s="77"/>
      <c r="D52" s="100"/>
      <c r="E52" s="100"/>
      <c r="F52" s="100"/>
      <c r="G52" s="100"/>
      <c r="H52" s="100"/>
      <c r="I52" s="100"/>
      <c r="J52" s="100"/>
      <c r="K52" s="100"/>
      <c r="L52" s="100"/>
      <c r="M52" s="77"/>
      <c r="N52" s="100"/>
      <c r="O52" s="100"/>
      <c r="P52" s="100"/>
      <c r="Q52" s="77"/>
      <c r="R52" s="100"/>
      <c r="S52" s="100"/>
      <c r="T52" s="100"/>
      <c r="U52" s="77"/>
      <c r="V52" s="100"/>
      <c r="W52" s="100"/>
      <c r="X52" s="100"/>
      <c r="Y52" s="77"/>
      <c r="Z52" s="100"/>
      <c r="AA52" s="100"/>
      <c r="AB52" s="100"/>
      <c r="AC52" s="77"/>
      <c r="AD52" s="100"/>
      <c r="AE52" s="100"/>
      <c r="AF52" s="100"/>
      <c r="AG52" s="77"/>
      <c r="AH52" s="77"/>
      <c r="AI52" s="77"/>
      <c r="AJ52" s="77"/>
      <c r="AK52" s="77"/>
      <c r="AL52" s="77"/>
    </row>
    <row r="53" spans="1:38" s="75" customFormat="1" ht="12.75">
      <c r="A53" s="77"/>
      <c r="B53" s="77"/>
      <c r="C53" s="77"/>
      <c r="D53" s="100"/>
      <c r="E53" s="100"/>
      <c r="F53" s="100"/>
      <c r="G53" s="100"/>
      <c r="H53" s="100"/>
      <c r="I53" s="100"/>
      <c r="J53" s="100"/>
      <c r="K53" s="100"/>
      <c r="L53" s="100"/>
      <c r="M53" s="77"/>
      <c r="N53" s="100"/>
      <c r="O53" s="100"/>
      <c r="P53" s="100"/>
      <c r="Q53" s="77"/>
      <c r="R53" s="100"/>
      <c r="S53" s="100"/>
      <c r="T53" s="100"/>
      <c r="U53" s="77"/>
      <c r="V53" s="100"/>
      <c r="W53" s="100"/>
      <c r="X53" s="100"/>
      <c r="Y53" s="77"/>
      <c r="Z53" s="100"/>
      <c r="AA53" s="100"/>
      <c r="AB53" s="100"/>
      <c r="AC53" s="77"/>
      <c r="AD53" s="100"/>
      <c r="AE53" s="100"/>
      <c r="AF53" s="100"/>
      <c r="AG53" s="77"/>
      <c r="AH53" s="77"/>
      <c r="AI53" s="77"/>
      <c r="AJ53" s="77"/>
      <c r="AK53" s="77"/>
      <c r="AL53" s="77"/>
    </row>
    <row r="54" spans="1:38" s="75" customFormat="1" ht="12.75">
      <c r="A54" s="77"/>
      <c r="B54" s="77"/>
      <c r="C54" s="77"/>
      <c r="D54" s="100"/>
      <c r="E54" s="100"/>
      <c r="F54" s="100"/>
      <c r="G54" s="100"/>
      <c r="H54" s="100"/>
      <c r="I54" s="100"/>
      <c r="J54" s="100"/>
      <c r="K54" s="100"/>
      <c r="L54" s="100"/>
      <c r="M54" s="77"/>
      <c r="N54" s="100"/>
      <c r="O54" s="100"/>
      <c r="P54" s="100"/>
      <c r="Q54" s="77"/>
      <c r="R54" s="100"/>
      <c r="S54" s="100"/>
      <c r="T54" s="100"/>
      <c r="U54" s="77"/>
      <c r="V54" s="100"/>
      <c r="W54" s="100"/>
      <c r="X54" s="100"/>
      <c r="Y54" s="77"/>
      <c r="Z54" s="100"/>
      <c r="AA54" s="100"/>
      <c r="AB54" s="100"/>
      <c r="AC54" s="77"/>
      <c r="AD54" s="100"/>
      <c r="AE54" s="100"/>
      <c r="AF54" s="100"/>
      <c r="AG54" s="77"/>
      <c r="AH54" s="77"/>
      <c r="AI54" s="77"/>
      <c r="AJ54" s="77"/>
      <c r="AK54" s="77"/>
      <c r="AL54" s="77"/>
    </row>
    <row r="55" spans="1:38" s="75" customFormat="1" ht="12.75">
      <c r="A55" s="77"/>
      <c r="B55" s="77"/>
      <c r="C55" s="77"/>
      <c r="D55" s="100"/>
      <c r="E55" s="100"/>
      <c r="F55" s="100"/>
      <c r="G55" s="100"/>
      <c r="H55" s="100"/>
      <c r="I55" s="100"/>
      <c r="J55" s="100"/>
      <c r="K55" s="100"/>
      <c r="L55" s="100"/>
      <c r="M55" s="77"/>
      <c r="N55" s="100"/>
      <c r="O55" s="100"/>
      <c r="P55" s="100"/>
      <c r="Q55" s="77"/>
      <c r="R55" s="100"/>
      <c r="S55" s="100"/>
      <c r="T55" s="100"/>
      <c r="U55" s="77"/>
      <c r="V55" s="100"/>
      <c r="W55" s="100"/>
      <c r="X55" s="100"/>
      <c r="Y55" s="77"/>
      <c r="Z55" s="100"/>
      <c r="AA55" s="100"/>
      <c r="AB55" s="100"/>
      <c r="AC55" s="77"/>
      <c r="AD55" s="100"/>
      <c r="AE55" s="100"/>
      <c r="AF55" s="100"/>
      <c r="AG55" s="77"/>
      <c r="AH55" s="77"/>
      <c r="AI55" s="77"/>
      <c r="AJ55" s="77"/>
      <c r="AK55" s="77"/>
      <c r="AL55" s="77"/>
    </row>
    <row r="56" spans="1:38" s="75" customFormat="1" ht="12.75">
      <c r="A56" s="77"/>
      <c r="B56" s="77"/>
      <c r="C56" s="77"/>
      <c r="D56" s="100"/>
      <c r="E56" s="100"/>
      <c r="F56" s="100"/>
      <c r="G56" s="100"/>
      <c r="H56" s="100"/>
      <c r="I56" s="100"/>
      <c r="J56" s="100"/>
      <c r="K56" s="100"/>
      <c r="L56" s="100"/>
      <c r="M56" s="77"/>
      <c r="N56" s="100"/>
      <c r="O56" s="100"/>
      <c r="P56" s="100"/>
      <c r="Q56" s="77"/>
      <c r="R56" s="100"/>
      <c r="S56" s="100"/>
      <c r="T56" s="100"/>
      <c r="U56" s="77"/>
      <c r="V56" s="100"/>
      <c r="W56" s="100"/>
      <c r="X56" s="100"/>
      <c r="Y56" s="77"/>
      <c r="Z56" s="100"/>
      <c r="AA56" s="100"/>
      <c r="AB56" s="100"/>
      <c r="AC56" s="77"/>
      <c r="AD56" s="100"/>
      <c r="AE56" s="100"/>
      <c r="AF56" s="100"/>
      <c r="AG56" s="77"/>
      <c r="AH56" s="77"/>
      <c r="AI56" s="77"/>
      <c r="AJ56" s="77"/>
      <c r="AK56" s="77"/>
      <c r="AL56" s="77"/>
    </row>
    <row r="57" spans="1:38" s="75" customFormat="1" ht="12.75">
      <c r="A57" s="77"/>
      <c r="B57" s="77"/>
      <c r="C57" s="77"/>
      <c r="D57" s="100"/>
      <c r="E57" s="100"/>
      <c r="F57" s="100"/>
      <c r="G57" s="100"/>
      <c r="H57" s="100"/>
      <c r="I57" s="100"/>
      <c r="J57" s="100"/>
      <c r="K57" s="100"/>
      <c r="L57" s="100"/>
      <c r="M57" s="77"/>
      <c r="N57" s="100"/>
      <c r="O57" s="100"/>
      <c r="P57" s="100"/>
      <c r="Q57" s="77"/>
      <c r="R57" s="100"/>
      <c r="S57" s="100"/>
      <c r="T57" s="100"/>
      <c r="U57" s="77"/>
      <c r="V57" s="100"/>
      <c r="W57" s="100"/>
      <c r="X57" s="100"/>
      <c r="Y57" s="77"/>
      <c r="Z57" s="100"/>
      <c r="AA57" s="100"/>
      <c r="AB57" s="100"/>
      <c r="AC57" s="77"/>
      <c r="AD57" s="100"/>
      <c r="AE57" s="100"/>
      <c r="AF57" s="100"/>
      <c r="AG57" s="77"/>
      <c r="AH57" s="77"/>
      <c r="AI57" s="77"/>
      <c r="AJ57" s="77"/>
      <c r="AK57" s="77"/>
      <c r="AL57" s="77"/>
    </row>
    <row r="58" spans="1:38" s="75" customFormat="1" ht="12.75">
      <c r="A58" s="77"/>
      <c r="B58" s="77"/>
      <c r="C58" s="77"/>
      <c r="D58" s="100"/>
      <c r="E58" s="100"/>
      <c r="F58" s="100"/>
      <c r="G58" s="100"/>
      <c r="H58" s="100"/>
      <c r="I58" s="100"/>
      <c r="J58" s="100"/>
      <c r="K58" s="100"/>
      <c r="L58" s="100"/>
      <c r="M58" s="77"/>
      <c r="N58" s="100"/>
      <c r="O58" s="100"/>
      <c r="P58" s="100"/>
      <c r="Q58" s="77"/>
      <c r="R58" s="100"/>
      <c r="S58" s="100"/>
      <c r="T58" s="100"/>
      <c r="U58" s="77"/>
      <c r="V58" s="100"/>
      <c r="W58" s="100"/>
      <c r="X58" s="100"/>
      <c r="Y58" s="77"/>
      <c r="Z58" s="100"/>
      <c r="AA58" s="100"/>
      <c r="AB58" s="100"/>
      <c r="AC58" s="77"/>
      <c r="AD58" s="100"/>
      <c r="AE58" s="100"/>
      <c r="AF58" s="100"/>
      <c r="AG58" s="77"/>
      <c r="AH58" s="77"/>
      <c r="AI58" s="77"/>
      <c r="AJ58" s="77"/>
      <c r="AK58" s="77"/>
      <c r="AL58" s="77"/>
    </row>
    <row r="59" spans="1:38" s="75" customFormat="1" ht="12.75">
      <c r="A59" s="77"/>
      <c r="B59" s="77"/>
      <c r="C59" s="77"/>
      <c r="D59" s="100"/>
      <c r="E59" s="100"/>
      <c r="F59" s="100"/>
      <c r="G59" s="100"/>
      <c r="H59" s="100"/>
      <c r="I59" s="100"/>
      <c r="J59" s="100"/>
      <c r="K59" s="100"/>
      <c r="L59" s="100"/>
      <c r="M59" s="77"/>
      <c r="N59" s="100"/>
      <c r="O59" s="100"/>
      <c r="P59" s="100"/>
      <c r="Q59" s="77"/>
      <c r="R59" s="100"/>
      <c r="S59" s="100"/>
      <c r="T59" s="100"/>
      <c r="U59" s="77"/>
      <c r="V59" s="100"/>
      <c r="W59" s="100"/>
      <c r="X59" s="100"/>
      <c r="Y59" s="77"/>
      <c r="Z59" s="100"/>
      <c r="AA59" s="100"/>
      <c r="AB59" s="100"/>
      <c r="AC59" s="77"/>
      <c r="AD59" s="100"/>
      <c r="AE59" s="100"/>
      <c r="AF59" s="100"/>
      <c r="AG59" s="77"/>
      <c r="AH59" s="77"/>
      <c r="AI59" s="77"/>
      <c r="AJ59" s="77"/>
      <c r="AK59" s="77"/>
      <c r="AL59" s="77"/>
    </row>
    <row r="60" spans="1:38" s="75" customFormat="1" ht="12.75">
      <c r="A60" s="77"/>
      <c r="B60" s="77"/>
      <c r="C60" s="77"/>
      <c r="D60" s="100"/>
      <c r="E60" s="100"/>
      <c r="F60" s="100"/>
      <c r="G60" s="100"/>
      <c r="H60" s="100"/>
      <c r="I60" s="100"/>
      <c r="J60" s="100"/>
      <c r="K60" s="100"/>
      <c r="L60" s="100"/>
      <c r="M60" s="77"/>
      <c r="N60" s="100"/>
      <c r="O60" s="100"/>
      <c r="P60" s="100"/>
      <c r="Q60" s="77"/>
      <c r="R60" s="100"/>
      <c r="S60" s="100"/>
      <c r="T60" s="100"/>
      <c r="U60" s="77"/>
      <c r="V60" s="100"/>
      <c r="W60" s="100"/>
      <c r="X60" s="100"/>
      <c r="Y60" s="77"/>
      <c r="Z60" s="100"/>
      <c r="AA60" s="100"/>
      <c r="AB60" s="100"/>
      <c r="AC60" s="77"/>
      <c r="AD60" s="100"/>
      <c r="AE60" s="100"/>
      <c r="AF60" s="100"/>
      <c r="AG60" s="77"/>
      <c r="AH60" s="77"/>
      <c r="AI60" s="77"/>
      <c r="AJ60" s="77"/>
      <c r="AK60" s="77"/>
      <c r="AL60" s="77"/>
    </row>
    <row r="61" spans="1:38" s="75" customFormat="1" ht="12.75">
      <c r="A61" s="77"/>
      <c r="B61" s="77"/>
      <c r="C61" s="77"/>
      <c r="D61" s="100"/>
      <c r="E61" s="100"/>
      <c r="F61" s="100"/>
      <c r="G61" s="100"/>
      <c r="H61" s="100"/>
      <c r="I61" s="100"/>
      <c r="J61" s="100"/>
      <c r="K61" s="100"/>
      <c r="L61" s="100"/>
      <c r="M61" s="77"/>
      <c r="N61" s="100"/>
      <c r="O61" s="100"/>
      <c r="P61" s="100"/>
      <c r="Q61" s="77"/>
      <c r="R61" s="100"/>
      <c r="S61" s="100"/>
      <c r="T61" s="100"/>
      <c r="U61" s="77"/>
      <c r="V61" s="100"/>
      <c r="W61" s="100"/>
      <c r="X61" s="100"/>
      <c r="Y61" s="77"/>
      <c r="Z61" s="100"/>
      <c r="AA61" s="100"/>
      <c r="AB61" s="100"/>
      <c r="AC61" s="77"/>
      <c r="AD61" s="100"/>
      <c r="AE61" s="100"/>
      <c r="AF61" s="100"/>
      <c r="AG61" s="77"/>
      <c r="AH61" s="77"/>
      <c r="AI61" s="77"/>
      <c r="AJ61" s="77"/>
      <c r="AK61" s="77"/>
      <c r="AL61" s="77"/>
    </row>
    <row r="62" spans="1:38" s="75" customFormat="1" ht="12.75">
      <c r="A62" s="77"/>
      <c r="B62" s="77"/>
      <c r="C62" s="77"/>
      <c r="D62" s="100"/>
      <c r="E62" s="100"/>
      <c r="F62" s="100"/>
      <c r="G62" s="100"/>
      <c r="H62" s="100"/>
      <c r="I62" s="100"/>
      <c r="J62" s="100"/>
      <c r="K62" s="100"/>
      <c r="L62" s="100"/>
      <c r="M62" s="77"/>
      <c r="N62" s="100"/>
      <c r="O62" s="100"/>
      <c r="P62" s="100"/>
      <c r="Q62" s="77"/>
      <c r="R62" s="100"/>
      <c r="S62" s="100"/>
      <c r="T62" s="100"/>
      <c r="U62" s="77"/>
      <c r="V62" s="100"/>
      <c r="W62" s="100"/>
      <c r="X62" s="100"/>
      <c r="Y62" s="77"/>
      <c r="Z62" s="100"/>
      <c r="AA62" s="100"/>
      <c r="AB62" s="100"/>
      <c r="AC62" s="77"/>
      <c r="AD62" s="100"/>
      <c r="AE62" s="100"/>
      <c r="AF62" s="100"/>
      <c r="AG62" s="77"/>
      <c r="AH62" s="77"/>
      <c r="AI62" s="77"/>
      <c r="AJ62" s="77"/>
      <c r="AK62" s="77"/>
      <c r="AL62" s="77"/>
    </row>
    <row r="63" spans="1:38" s="75" customFormat="1" ht="12.75">
      <c r="A63" s="77"/>
      <c r="B63" s="77"/>
      <c r="C63" s="77"/>
      <c r="D63" s="100"/>
      <c r="E63" s="100"/>
      <c r="F63" s="100"/>
      <c r="G63" s="100"/>
      <c r="H63" s="100"/>
      <c r="I63" s="100"/>
      <c r="J63" s="100"/>
      <c r="K63" s="100"/>
      <c r="L63" s="100"/>
      <c r="M63" s="77"/>
      <c r="N63" s="100"/>
      <c r="O63" s="100"/>
      <c r="P63" s="100"/>
      <c r="Q63" s="77"/>
      <c r="R63" s="100"/>
      <c r="S63" s="100"/>
      <c r="T63" s="100"/>
      <c r="U63" s="77"/>
      <c r="V63" s="100"/>
      <c r="W63" s="100"/>
      <c r="X63" s="100"/>
      <c r="Y63" s="77"/>
      <c r="Z63" s="100"/>
      <c r="AA63" s="100"/>
      <c r="AB63" s="100"/>
      <c r="AC63" s="77"/>
      <c r="AD63" s="100"/>
      <c r="AE63" s="100"/>
      <c r="AF63" s="100"/>
      <c r="AG63" s="77"/>
      <c r="AH63" s="77"/>
      <c r="AI63" s="77"/>
      <c r="AJ63" s="77"/>
      <c r="AK63" s="77"/>
      <c r="AL63" s="77"/>
    </row>
    <row r="64" spans="1:38" s="75" customFormat="1" ht="12.75">
      <c r="A64" s="77"/>
      <c r="B64" s="77"/>
      <c r="C64" s="77"/>
      <c r="D64" s="100"/>
      <c r="E64" s="100"/>
      <c r="F64" s="100"/>
      <c r="G64" s="100"/>
      <c r="H64" s="100"/>
      <c r="I64" s="100"/>
      <c r="J64" s="100"/>
      <c r="K64" s="100"/>
      <c r="L64" s="100"/>
      <c r="M64" s="77"/>
      <c r="N64" s="100"/>
      <c r="O64" s="100"/>
      <c r="P64" s="100"/>
      <c r="Q64" s="77"/>
      <c r="R64" s="100"/>
      <c r="S64" s="100"/>
      <c r="T64" s="100"/>
      <c r="U64" s="77"/>
      <c r="V64" s="100"/>
      <c r="W64" s="100"/>
      <c r="X64" s="100"/>
      <c r="Y64" s="77"/>
      <c r="Z64" s="100"/>
      <c r="AA64" s="100"/>
      <c r="AB64" s="100"/>
      <c r="AC64" s="77"/>
      <c r="AD64" s="100"/>
      <c r="AE64" s="100"/>
      <c r="AF64" s="100"/>
      <c r="AG64" s="77"/>
      <c r="AH64" s="77"/>
      <c r="AI64" s="77"/>
      <c r="AJ64" s="77"/>
      <c r="AK64" s="77"/>
      <c r="AL64" s="77"/>
    </row>
    <row r="65" spans="1:38" s="75" customFormat="1" ht="12.75">
      <c r="A65" s="77"/>
      <c r="B65" s="77"/>
      <c r="C65" s="77"/>
      <c r="D65" s="100"/>
      <c r="E65" s="100"/>
      <c r="F65" s="100"/>
      <c r="G65" s="100"/>
      <c r="H65" s="100"/>
      <c r="I65" s="100"/>
      <c r="J65" s="100"/>
      <c r="K65" s="100"/>
      <c r="L65" s="100"/>
      <c r="M65" s="77"/>
      <c r="N65" s="100"/>
      <c r="O65" s="100"/>
      <c r="P65" s="100"/>
      <c r="Q65" s="77"/>
      <c r="R65" s="100"/>
      <c r="S65" s="100"/>
      <c r="T65" s="100"/>
      <c r="U65" s="77"/>
      <c r="V65" s="100"/>
      <c r="W65" s="100"/>
      <c r="X65" s="100"/>
      <c r="Y65" s="77"/>
      <c r="Z65" s="100"/>
      <c r="AA65" s="100"/>
      <c r="AB65" s="100"/>
      <c r="AC65" s="77"/>
      <c r="AD65" s="100"/>
      <c r="AE65" s="100"/>
      <c r="AF65" s="100"/>
      <c r="AG65" s="77"/>
      <c r="AH65" s="77"/>
      <c r="AI65" s="77"/>
      <c r="AJ65" s="77"/>
      <c r="AK65" s="77"/>
      <c r="AL65" s="77"/>
    </row>
    <row r="66" spans="1:38" s="75" customFormat="1" ht="12.75">
      <c r="A66" s="77"/>
      <c r="B66" s="77"/>
      <c r="C66" s="77"/>
      <c r="D66" s="100"/>
      <c r="E66" s="100"/>
      <c r="F66" s="100"/>
      <c r="G66" s="100"/>
      <c r="H66" s="100"/>
      <c r="I66" s="100"/>
      <c r="J66" s="100"/>
      <c r="K66" s="100"/>
      <c r="L66" s="100"/>
      <c r="M66" s="77"/>
      <c r="N66" s="100"/>
      <c r="O66" s="100"/>
      <c r="P66" s="100"/>
      <c r="Q66" s="77"/>
      <c r="R66" s="100"/>
      <c r="S66" s="100"/>
      <c r="T66" s="100"/>
      <c r="U66" s="77"/>
      <c r="V66" s="100"/>
      <c r="W66" s="100"/>
      <c r="X66" s="100"/>
      <c r="Y66" s="77"/>
      <c r="Z66" s="100"/>
      <c r="AA66" s="100"/>
      <c r="AB66" s="100"/>
      <c r="AC66" s="77"/>
      <c r="AD66" s="100"/>
      <c r="AE66" s="100"/>
      <c r="AF66" s="100"/>
      <c r="AG66" s="77"/>
      <c r="AH66" s="77"/>
      <c r="AI66" s="77"/>
      <c r="AJ66" s="77"/>
      <c r="AK66" s="77"/>
      <c r="AL66" s="77"/>
    </row>
    <row r="67" spans="1:38" s="75" customFormat="1" ht="12.75">
      <c r="A67" s="77"/>
      <c r="B67" s="77"/>
      <c r="C67" s="77"/>
      <c r="D67" s="100"/>
      <c r="E67" s="100"/>
      <c r="F67" s="100"/>
      <c r="G67" s="100"/>
      <c r="H67" s="100"/>
      <c r="I67" s="100"/>
      <c r="J67" s="100"/>
      <c r="K67" s="100"/>
      <c r="L67" s="100"/>
      <c r="M67" s="77"/>
      <c r="N67" s="100"/>
      <c r="O67" s="100"/>
      <c r="P67" s="100"/>
      <c r="Q67" s="77"/>
      <c r="R67" s="100"/>
      <c r="S67" s="100"/>
      <c r="T67" s="100"/>
      <c r="U67" s="77"/>
      <c r="V67" s="100"/>
      <c r="W67" s="100"/>
      <c r="X67" s="100"/>
      <c r="Y67" s="77"/>
      <c r="Z67" s="100"/>
      <c r="AA67" s="100"/>
      <c r="AB67" s="100"/>
      <c r="AC67" s="77"/>
      <c r="AD67" s="100"/>
      <c r="AE67" s="100"/>
      <c r="AF67" s="100"/>
      <c r="AG67" s="77"/>
      <c r="AH67" s="77"/>
      <c r="AI67" s="77"/>
      <c r="AJ67" s="77"/>
      <c r="AK67" s="77"/>
      <c r="AL67" s="77"/>
    </row>
    <row r="68" spans="1:38" s="75" customFormat="1" ht="12.75">
      <c r="A68" s="77"/>
      <c r="B68" s="77"/>
      <c r="C68" s="77"/>
      <c r="D68" s="100"/>
      <c r="E68" s="100"/>
      <c r="F68" s="100"/>
      <c r="G68" s="100"/>
      <c r="H68" s="100"/>
      <c r="I68" s="100"/>
      <c r="J68" s="100"/>
      <c r="K68" s="100"/>
      <c r="L68" s="100"/>
      <c r="M68" s="77"/>
      <c r="N68" s="100"/>
      <c r="O68" s="100"/>
      <c r="P68" s="100"/>
      <c r="Q68" s="77"/>
      <c r="R68" s="100"/>
      <c r="S68" s="100"/>
      <c r="T68" s="100"/>
      <c r="U68" s="77"/>
      <c r="V68" s="100"/>
      <c r="W68" s="100"/>
      <c r="X68" s="100"/>
      <c r="Y68" s="77"/>
      <c r="Z68" s="100"/>
      <c r="AA68" s="100"/>
      <c r="AB68" s="100"/>
      <c r="AC68" s="77"/>
      <c r="AD68" s="100"/>
      <c r="AE68" s="100"/>
      <c r="AF68" s="100"/>
      <c r="AG68" s="77"/>
      <c r="AH68" s="77"/>
      <c r="AI68" s="77"/>
      <c r="AJ68" s="77"/>
      <c r="AK68" s="77"/>
      <c r="AL68" s="77"/>
    </row>
    <row r="69" spans="1:38" s="75" customFormat="1" ht="12.75">
      <c r="A69" s="77"/>
      <c r="B69" s="77"/>
      <c r="C69" s="77"/>
      <c r="D69" s="100"/>
      <c r="E69" s="100"/>
      <c r="F69" s="100"/>
      <c r="G69" s="100"/>
      <c r="H69" s="100"/>
      <c r="I69" s="100"/>
      <c r="J69" s="100"/>
      <c r="K69" s="100"/>
      <c r="L69" s="100"/>
      <c r="M69" s="77"/>
      <c r="N69" s="100"/>
      <c r="O69" s="100"/>
      <c r="P69" s="100"/>
      <c r="Q69" s="77"/>
      <c r="R69" s="100"/>
      <c r="S69" s="100"/>
      <c r="T69" s="100"/>
      <c r="U69" s="77"/>
      <c r="V69" s="100"/>
      <c r="W69" s="100"/>
      <c r="X69" s="100"/>
      <c r="Y69" s="77"/>
      <c r="Z69" s="100"/>
      <c r="AA69" s="100"/>
      <c r="AB69" s="100"/>
      <c r="AC69" s="77"/>
      <c r="AD69" s="100"/>
      <c r="AE69" s="100"/>
      <c r="AF69" s="100"/>
      <c r="AG69" s="77"/>
      <c r="AH69" s="77"/>
      <c r="AI69" s="77"/>
      <c r="AJ69" s="77"/>
      <c r="AK69" s="77"/>
      <c r="AL69" s="77"/>
    </row>
    <row r="70" spans="1:38" s="75" customFormat="1" ht="12.75">
      <c r="A70" s="77"/>
      <c r="B70" s="77"/>
      <c r="C70" s="77"/>
      <c r="D70" s="100"/>
      <c r="E70" s="100"/>
      <c r="F70" s="100"/>
      <c r="G70" s="100"/>
      <c r="H70" s="100"/>
      <c r="I70" s="100"/>
      <c r="J70" s="100"/>
      <c r="K70" s="100"/>
      <c r="L70" s="100"/>
      <c r="M70" s="77"/>
      <c r="N70" s="100"/>
      <c r="O70" s="100"/>
      <c r="P70" s="100"/>
      <c r="Q70" s="77"/>
      <c r="R70" s="100"/>
      <c r="S70" s="100"/>
      <c r="T70" s="100"/>
      <c r="U70" s="77"/>
      <c r="V70" s="100"/>
      <c r="W70" s="100"/>
      <c r="X70" s="100"/>
      <c r="Y70" s="77"/>
      <c r="Z70" s="100"/>
      <c r="AA70" s="100"/>
      <c r="AB70" s="100"/>
      <c r="AC70" s="77"/>
      <c r="AD70" s="100"/>
      <c r="AE70" s="100"/>
      <c r="AF70" s="100"/>
      <c r="AG70" s="77"/>
      <c r="AH70" s="77"/>
      <c r="AI70" s="77"/>
      <c r="AJ70" s="77"/>
      <c r="AK70" s="77"/>
      <c r="AL70" s="77"/>
    </row>
    <row r="71" spans="1:38" s="75" customFormat="1" ht="12.75">
      <c r="A71" s="77"/>
      <c r="B71" s="77"/>
      <c r="C71" s="77"/>
      <c r="D71" s="100"/>
      <c r="E71" s="100"/>
      <c r="F71" s="100"/>
      <c r="G71" s="100"/>
      <c r="H71" s="100"/>
      <c r="I71" s="100"/>
      <c r="J71" s="100"/>
      <c r="K71" s="100"/>
      <c r="L71" s="100"/>
      <c r="M71" s="77"/>
      <c r="N71" s="100"/>
      <c r="O71" s="100"/>
      <c r="P71" s="100"/>
      <c r="Q71" s="77"/>
      <c r="R71" s="100"/>
      <c r="S71" s="100"/>
      <c r="T71" s="100"/>
      <c r="U71" s="77"/>
      <c r="V71" s="100"/>
      <c r="W71" s="100"/>
      <c r="X71" s="100"/>
      <c r="Y71" s="77"/>
      <c r="Z71" s="100"/>
      <c r="AA71" s="100"/>
      <c r="AB71" s="100"/>
      <c r="AC71" s="77"/>
      <c r="AD71" s="100"/>
      <c r="AE71" s="100"/>
      <c r="AF71" s="100"/>
      <c r="AG71" s="77"/>
      <c r="AH71" s="77"/>
      <c r="AI71" s="77"/>
      <c r="AJ71" s="77"/>
      <c r="AK71" s="77"/>
      <c r="AL71" s="77"/>
    </row>
    <row r="72" spans="1:38" s="75" customFormat="1" ht="12.75">
      <c r="A72" s="77"/>
      <c r="B72" s="77"/>
      <c r="C72" s="77"/>
      <c r="D72" s="100"/>
      <c r="E72" s="100"/>
      <c r="F72" s="100"/>
      <c r="G72" s="100"/>
      <c r="H72" s="100"/>
      <c r="I72" s="100"/>
      <c r="J72" s="100"/>
      <c r="K72" s="100"/>
      <c r="L72" s="100"/>
      <c r="M72" s="77"/>
      <c r="N72" s="100"/>
      <c r="O72" s="100"/>
      <c r="P72" s="100"/>
      <c r="Q72" s="77"/>
      <c r="R72" s="100"/>
      <c r="S72" s="100"/>
      <c r="T72" s="100"/>
      <c r="U72" s="77"/>
      <c r="V72" s="100"/>
      <c r="W72" s="100"/>
      <c r="X72" s="100"/>
      <c r="Y72" s="77"/>
      <c r="Z72" s="100"/>
      <c r="AA72" s="100"/>
      <c r="AB72" s="100"/>
      <c r="AC72" s="77"/>
      <c r="AD72" s="100"/>
      <c r="AE72" s="100"/>
      <c r="AF72" s="100"/>
      <c r="AG72" s="77"/>
      <c r="AH72" s="77"/>
      <c r="AI72" s="77"/>
      <c r="AJ72" s="77"/>
      <c r="AK72" s="77"/>
      <c r="AL72" s="77"/>
    </row>
    <row r="73" spans="1:38" s="75" customFormat="1" ht="12.75">
      <c r="A73" s="77"/>
      <c r="B73" s="77"/>
      <c r="C73" s="77"/>
      <c r="D73" s="100"/>
      <c r="E73" s="100"/>
      <c r="F73" s="100"/>
      <c r="G73" s="100"/>
      <c r="H73" s="100"/>
      <c r="I73" s="100"/>
      <c r="J73" s="100"/>
      <c r="K73" s="100"/>
      <c r="L73" s="100"/>
      <c r="M73" s="77"/>
      <c r="N73" s="100"/>
      <c r="O73" s="100"/>
      <c r="P73" s="100"/>
      <c r="Q73" s="77"/>
      <c r="R73" s="100"/>
      <c r="S73" s="100"/>
      <c r="T73" s="100"/>
      <c r="U73" s="77"/>
      <c r="V73" s="100"/>
      <c r="W73" s="100"/>
      <c r="X73" s="100"/>
      <c r="Y73" s="77"/>
      <c r="Z73" s="100"/>
      <c r="AA73" s="100"/>
      <c r="AB73" s="100"/>
      <c r="AC73" s="77"/>
      <c r="AD73" s="100"/>
      <c r="AE73" s="100"/>
      <c r="AF73" s="100"/>
      <c r="AG73" s="77"/>
      <c r="AH73" s="77"/>
      <c r="AI73" s="77"/>
      <c r="AJ73" s="77"/>
      <c r="AK73" s="77"/>
      <c r="AL73" s="77"/>
    </row>
    <row r="74" spans="1:38" s="75" customFormat="1" ht="12.75">
      <c r="A74" s="77"/>
      <c r="B74" s="77"/>
      <c r="C74" s="77"/>
      <c r="D74" s="100"/>
      <c r="E74" s="100"/>
      <c r="F74" s="100"/>
      <c r="G74" s="100"/>
      <c r="H74" s="100"/>
      <c r="I74" s="100"/>
      <c r="J74" s="100"/>
      <c r="K74" s="100"/>
      <c r="L74" s="100"/>
      <c r="M74" s="77"/>
      <c r="N74" s="100"/>
      <c r="O74" s="100"/>
      <c r="P74" s="100"/>
      <c r="Q74" s="77"/>
      <c r="R74" s="100"/>
      <c r="S74" s="100"/>
      <c r="T74" s="100"/>
      <c r="U74" s="77"/>
      <c r="V74" s="100"/>
      <c r="W74" s="100"/>
      <c r="X74" s="100"/>
      <c r="Y74" s="77"/>
      <c r="Z74" s="100"/>
      <c r="AA74" s="100"/>
      <c r="AB74" s="100"/>
      <c r="AC74" s="77"/>
      <c r="AD74" s="100"/>
      <c r="AE74" s="100"/>
      <c r="AF74" s="100"/>
      <c r="AG74" s="77"/>
      <c r="AH74" s="77"/>
      <c r="AI74" s="77"/>
      <c r="AJ74" s="77"/>
      <c r="AK74" s="77"/>
      <c r="AL74" s="77"/>
    </row>
    <row r="75" spans="1:38" s="75" customFormat="1" ht="12.75">
      <c r="A75" s="77"/>
      <c r="B75" s="77"/>
      <c r="C75" s="77"/>
      <c r="D75" s="100"/>
      <c r="E75" s="100"/>
      <c r="F75" s="100"/>
      <c r="G75" s="100"/>
      <c r="H75" s="100"/>
      <c r="I75" s="100"/>
      <c r="J75" s="100"/>
      <c r="K75" s="100"/>
      <c r="L75" s="100"/>
      <c r="M75" s="77"/>
      <c r="N75" s="100"/>
      <c r="O75" s="100"/>
      <c r="P75" s="100"/>
      <c r="Q75" s="77"/>
      <c r="R75" s="100"/>
      <c r="S75" s="100"/>
      <c r="T75" s="100"/>
      <c r="U75" s="77"/>
      <c r="V75" s="100"/>
      <c r="W75" s="100"/>
      <c r="X75" s="100"/>
      <c r="Y75" s="77"/>
      <c r="Z75" s="100"/>
      <c r="AA75" s="100"/>
      <c r="AB75" s="100"/>
      <c r="AC75" s="77"/>
      <c r="AD75" s="100"/>
      <c r="AE75" s="100"/>
      <c r="AF75" s="100"/>
      <c r="AG75" s="77"/>
      <c r="AH75" s="77"/>
      <c r="AI75" s="77"/>
      <c r="AJ75" s="77"/>
      <c r="AK75" s="77"/>
      <c r="AL75" s="77"/>
    </row>
    <row r="76" spans="1:38" s="75" customFormat="1" ht="12.75">
      <c r="A76" s="77"/>
      <c r="B76" s="77"/>
      <c r="C76" s="77"/>
      <c r="D76" s="100"/>
      <c r="E76" s="100"/>
      <c r="F76" s="100"/>
      <c r="G76" s="100"/>
      <c r="H76" s="100"/>
      <c r="I76" s="100"/>
      <c r="J76" s="100"/>
      <c r="K76" s="100"/>
      <c r="L76" s="100"/>
      <c r="M76" s="77"/>
      <c r="N76" s="100"/>
      <c r="O76" s="100"/>
      <c r="P76" s="100"/>
      <c r="Q76" s="77"/>
      <c r="R76" s="100"/>
      <c r="S76" s="100"/>
      <c r="T76" s="100"/>
      <c r="U76" s="77"/>
      <c r="V76" s="100"/>
      <c r="W76" s="100"/>
      <c r="X76" s="100"/>
      <c r="Y76" s="77"/>
      <c r="Z76" s="100"/>
      <c r="AA76" s="100"/>
      <c r="AB76" s="100"/>
      <c r="AC76" s="77"/>
      <c r="AD76" s="100"/>
      <c r="AE76" s="100"/>
      <c r="AF76" s="100"/>
      <c r="AG76" s="77"/>
      <c r="AH76" s="77"/>
      <c r="AI76" s="77"/>
      <c r="AJ76" s="77"/>
      <c r="AK76" s="77"/>
      <c r="AL76" s="77"/>
    </row>
    <row r="77" spans="1:38" s="75" customFormat="1" ht="12.75">
      <c r="A77" s="77"/>
      <c r="B77" s="77"/>
      <c r="C77" s="77"/>
      <c r="D77" s="100"/>
      <c r="E77" s="100"/>
      <c r="F77" s="100"/>
      <c r="G77" s="100"/>
      <c r="H77" s="100"/>
      <c r="I77" s="100"/>
      <c r="J77" s="100"/>
      <c r="K77" s="100"/>
      <c r="L77" s="100"/>
      <c r="M77" s="77"/>
      <c r="N77" s="100"/>
      <c r="O77" s="100"/>
      <c r="P77" s="100"/>
      <c r="Q77" s="77"/>
      <c r="R77" s="100"/>
      <c r="S77" s="100"/>
      <c r="T77" s="100"/>
      <c r="U77" s="77"/>
      <c r="V77" s="100"/>
      <c r="W77" s="100"/>
      <c r="X77" s="100"/>
      <c r="Y77" s="77"/>
      <c r="Z77" s="100"/>
      <c r="AA77" s="100"/>
      <c r="AB77" s="100"/>
      <c r="AC77" s="77"/>
      <c r="AD77" s="100"/>
      <c r="AE77" s="100"/>
      <c r="AF77" s="100"/>
      <c r="AG77" s="77"/>
      <c r="AH77" s="77"/>
      <c r="AI77" s="77"/>
      <c r="AJ77" s="77"/>
      <c r="AK77" s="77"/>
      <c r="AL77" s="77"/>
    </row>
    <row r="78" spans="1:38" s="75" customFormat="1" ht="12.75">
      <c r="A78" s="77"/>
      <c r="B78" s="77"/>
      <c r="C78" s="77"/>
      <c r="D78" s="100"/>
      <c r="E78" s="100"/>
      <c r="F78" s="100"/>
      <c r="G78" s="100"/>
      <c r="H78" s="100"/>
      <c r="I78" s="100"/>
      <c r="J78" s="100"/>
      <c r="K78" s="100"/>
      <c r="L78" s="100"/>
      <c r="M78" s="77"/>
      <c r="N78" s="100"/>
      <c r="O78" s="100"/>
      <c r="P78" s="100"/>
      <c r="Q78" s="77"/>
      <c r="R78" s="100"/>
      <c r="S78" s="100"/>
      <c r="T78" s="100"/>
      <c r="U78" s="77"/>
      <c r="V78" s="100"/>
      <c r="W78" s="100"/>
      <c r="X78" s="100"/>
      <c r="Y78" s="77"/>
      <c r="Z78" s="100"/>
      <c r="AA78" s="100"/>
      <c r="AB78" s="100"/>
      <c r="AC78" s="77"/>
      <c r="AD78" s="100"/>
      <c r="AE78" s="100"/>
      <c r="AF78" s="100"/>
      <c r="AG78" s="77"/>
      <c r="AH78" s="77"/>
      <c r="AI78" s="77"/>
      <c r="AJ78" s="77"/>
      <c r="AK78" s="77"/>
      <c r="AL78" s="77"/>
    </row>
    <row r="79" spans="1:38" s="75" customFormat="1" ht="12.75">
      <c r="A79" s="77"/>
      <c r="B79" s="77"/>
      <c r="C79" s="77"/>
      <c r="D79" s="100"/>
      <c r="E79" s="100"/>
      <c r="F79" s="100"/>
      <c r="G79" s="100"/>
      <c r="H79" s="100"/>
      <c r="I79" s="100"/>
      <c r="J79" s="100"/>
      <c r="K79" s="100"/>
      <c r="L79" s="100"/>
      <c r="M79" s="77"/>
      <c r="N79" s="100"/>
      <c r="O79" s="100"/>
      <c r="P79" s="100"/>
      <c r="Q79" s="77"/>
      <c r="R79" s="100"/>
      <c r="S79" s="100"/>
      <c r="T79" s="100"/>
      <c r="U79" s="77"/>
      <c r="V79" s="100"/>
      <c r="W79" s="100"/>
      <c r="X79" s="100"/>
      <c r="Y79" s="77"/>
      <c r="Z79" s="100"/>
      <c r="AA79" s="100"/>
      <c r="AB79" s="100"/>
      <c r="AC79" s="77"/>
      <c r="AD79" s="100"/>
      <c r="AE79" s="100"/>
      <c r="AF79" s="100"/>
      <c r="AG79" s="77"/>
      <c r="AH79" s="77"/>
      <c r="AI79" s="77"/>
      <c r="AJ79" s="77"/>
      <c r="AK79" s="77"/>
      <c r="AL79" s="77"/>
    </row>
    <row r="80" spans="1:38" s="75" customFormat="1" ht="12.75">
      <c r="A80" s="77"/>
      <c r="B80" s="77"/>
      <c r="C80" s="77"/>
      <c r="D80" s="100"/>
      <c r="E80" s="100"/>
      <c r="F80" s="100"/>
      <c r="G80" s="100"/>
      <c r="H80" s="100"/>
      <c r="I80" s="100"/>
      <c r="J80" s="100"/>
      <c r="K80" s="100"/>
      <c r="L80" s="100"/>
      <c r="M80" s="77"/>
      <c r="N80" s="100"/>
      <c r="O80" s="100"/>
      <c r="P80" s="100"/>
      <c r="Q80" s="77"/>
      <c r="R80" s="100"/>
      <c r="S80" s="100"/>
      <c r="T80" s="100"/>
      <c r="U80" s="77"/>
      <c r="V80" s="100"/>
      <c r="W80" s="100"/>
      <c r="X80" s="100"/>
      <c r="Y80" s="77"/>
      <c r="Z80" s="100"/>
      <c r="AA80" s="100"/>
      <c r="AB80" s="100"/>
      <c r="AC80" s="77"/>
      <c r="AD80" s="100"/>
      <c r="AE80" s="100"/>
      <c r="AF80" s="100"/>
      <c r="AG80" s="77"/>
      <c r="AH80" s="77"/>
      <c r="AI80" s="77"/>
      <c r="AJ80" s="77"/>
      <c r="AK80" s="77"/>
      <c r="AL80" s="77"/>
    </row>
    <row r="81" spans="1:38" s="75" customFormat="1" ht="12.75">
      <c r="A81" s="77"/>
      <c r="B81" s="77"/>
      <c r="C81" s="77"/>
      <c r="D81" s="100"/>
      <c r="E81" s="100"/>
      <c r="F81" s="100"/>
      <c r="G81" s="100"/>
      <c r="H81" s="100"/>
      <c r="I81" s="100"/>
      <c r="J81" s="100"/>
      <c r="K81" s="100"/>
      <c r="L81" s="100"/>
      <c r="M81" s="77"/>
      <c r="N81" s="100"/>
      <c r="O81" s="100"/>
      <c r="P81" s="100"/>
      <c r="Q81" s="77"/>
      <c r="R81" s="100"/>
      <c r="S81" s="100"/>
      <c r="T81" s="100"/>
      <c r="U81" s="77"/>
      <c r="V81" s="100"/>
      <c r="W81" s="100"/>
      <c r="X81" s="100"/>
      <c r="Y81" s="77"/>
      <c r="Z81" s="100"/>
      <c r="AA81" s="100"/>
      <c r="AB81" s="100"/>
      <c r="AC81" s="77"/>
      <c r="AD81" s="100"/>
      <c r="AE81" s="100"/>
      <c r="AF81" s="100"/>
      <c r="AG81" s="77"/>
      <c r="AH81" s="77"/>
      <c r="AI81" s="77"/>
      <c r="AJ81" s="77"/>
      <c r="AK81" s="77"/>
      <c r="AL81" s="77"/>
    </row>
    <row r="82" spans="1:38" s="75" customFormat="1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s="75" customFormat="1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s="75" customFormat="1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  <row r="101" s="75" customFormat="1" ht="12.75"/>
    <row r="102" s="7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10.7109375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32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1" t="s">
        <v>551</v>
      </c>
      <c r="C9" s="39" t="s">
        <v>552</v>
      </c>
      <c r="D9" s="78">
        <v>340408000</v>
      </c>
      <c r="E9" s="79">
        <v>124214801</v>
      </c>
      <c r="F9" s="80">
        <f>$D9+$E9</f>
        <v>464622801</v>
      </c>
      <c r="G9" s="78">
        <v>340408000</v>
      </c>
      <c r="H9" s="79">
        <v>124214801</v>
      </c>
      <c r="I9" s="81">
        <f>$G9+$H9</f>
        <v>464622801</v>
      </c>
      <c r="J9" s="78">
        <v>58200062</v>
      </c>
      <c r="K9" s="79">
        <v>23422935</v>
      </c>
      <c r="L9" s="79">
        <f>$J9+$K9</f>
        <v>81622997</v>
      </c>
      <c r="M9" s="40">
        <f>IF($F9=0,0,$L9/$F9)</f>
        <v>0.17567583171623125</v>
      </c>
      <c r="N9" s="106">
        <v>60363793</v>
      </c>
      <c r="O9" s="107">
        <v>79089080</v>
      </c>
      <c r="P9" s="108">
        <f>$N9+$O9</f>
        <v>139452873</v>
      </c>
      <c r="Q9" s="40">
        <f>IF($F9=0,0,$P9/$F9)</f>
        <v>0.30014212109233096</v>
      </c>
      <c r="R9" s="106">
        <v>55381049</v>
      </c>
      <c r="S9" s="108">
        <v>54705869</v>
      </c>
      <c r="T9" s="108">
        <f>$R9+$S9</f>
        <v>110086918</v>
      </c>
      <c r="U9" s="40">
        <f>IF($I9=0,0,$T9/$I9)</f>
        <v>0.23693825994561984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173944904</v>
      </c>
      <c r="AA9" s="79">
        <f>$K9+$O9+$S9</f>
        <v>157217884</v>
      </c>
      <c r="AB9" s="79">
        <f>$Z9+$AA9</f>
        <v>331162788</v>
      </c>
      <c r="AC9" s="40">
        <f>IF($I9=0,0,$AB9/$I9)</f>
        <v>0.7127562127541821</v>
      </c>
      <c r="AD9" s="78">
        <v>55298429</v>
      </c>
      <c r="AE9" s="79">
        <v>19039493</v>
      </c>
      <c r="AF9" s="79">
        <f>$AD9+$AE9</f>
        <v>74337922</v>
      </c>
      <c r="AG9" s="40">
        <f>IF(449443373=0,0,294334767/449443373)</f>
        <v>0.6548873221454753</v>
      </c>
      <c r="AH9" s="40">
        <f>IF($AF9=0,0,(($T9/$AF9)-1))</f>
        <v>0.4808985109914694</v>
      </c>
      <c r="AI9" s="12">
        <v>400865950</v>
      </c>
      <c r="AJ9" s="12">
        <v>449443373</v>
      </c>
      <c r="AK9" s="12">
        <v>294334767</v>
      </c>
      <c r="AL9" s="12"/>
    </row>
    <row r="10" spans="1:38" s="13" customFormat="1" ht="12.75">
      <c r="A10" s="29" t="s">
        <v>95</v>
      </c>
      <c r="B10" s="61" t="s">
        <v>67</v>
      </c>
      <c r="C10" s="39" t="s">
        <v>68</v>
      </c>
      <c r="D10" s="78">
        <v>1512169000</v>
      </c>
      <c r="E10" s="79">
        <v>292461000</v>
      </c>
      <c r="F10" s="81">
        <f aca="true" t="shared" si="0" ref="F10:F36">$D10+$E10</f>
        <v>1804630000</v>
      </c>
      <c r="G10" s="78">
        <v>1512169000</v>
      </c>
      <c r="H10" s="79">
        <v>292461000</v>
      </c>
      <c r="I10" s="81">
        <f aca="true" t="shared" si="1" ref="I10:I36">$G10+$H10</f>
        <v>1804630000</v>
      </c>
      <c r="J10" s="78">
        <v>230982863</v>
      </c>
      <c r="K10" s="79">
        <v>13163976</v>
      </c>
      <c r="L10" s="79">
        <f aca="true" t="shared" si="2" ref="L10:L36">$J10+$K10</f>
        <v>244146839</v>
      </c>
      <c r="M10" s="40">
        <f aca="true" t="shared" si="3" ref="M10:M36">IF($F10=0,0,$L10/$F10)</f>
        <v>0.13528913904789347</v>
      </c>
      <c r="N10" s="106">
        <v>356568583</v>
      </c>
      <c r="O10" s="107">
        <v>49565201</v>
      </c>
      <c r="P10" s="108">
        <f aca="true" t="shared" si="4" ref="P10:P36">$N10+$O10</f>
        <v>406133784</v>
      </c>
      <c r="Q10" s="40">
        <f aca="true" t="shared" si="5" ref="Q10:Q36">IF($F10=0,0,$P10/$F10)</f>
        <v>0.22505099881970264</v>
      </c>
      <c r="R10" s="106">
        <v>360366656</v>
      </c>
      <c r="S10" s="108">
        <v>73344887</v>
      </c>
      <c r="T10" s="108">
        <f aca="true" t="shared" si="6" ref="T10:T36">$R10+$S10</f>
        <v>433711543</v>
      </c>
      <c r="U10" s="40">
        <f aca="true" t="shared" si="7" ref="U10:U36">IF($I10=0,0,$T10/$I10)</f>
        <v>0.24033266819237184</v>
      </c>
      <c r="V10" s="106">
        <v>0</v>
      </c>
      <c r="W10" s="108">
        <v>0</v>
      </c>
      <c r="X10" s="108">
        <f aca="true" t="shared" si="8" ref="X10:X36">$V10+$W10</f>
        <v>0</v>
      </c>
      <c r="Y10" s="40">
        <f aca="true" t="shared" si="9" ref="Y10:Y36">IF($I10=0,0,$X10/$I10)</f>
        <v>0</v>
      </c>
      <c r="Z10" s="78">
        <f aca="true" t="shared" si="10" ref="Z10:Z36">$J10+$N10+$R10</f>
        <v>947918102</v>
      </c>
      <c r="AA10" s="79">
        <f aca="true" t="shared" si="11" ref="AA10:AA36">$K10+$O10+$S10</f>
        <v>136074064</v>
      </c>
      <c r="AB10" s="79">
        <f aca="true" t="shared" si="12" ref="AB10:AB36">$Z10+$AA10</f>
        <v>1083992166</v>
      </c>
      <c r="AC10" s="40">
        <f aca="true" t="shared" si="13" ref="AC10:AC36">IF($I10=0,0,$AB10/$I10)</f>
        <v>0.600672806059968</v>
      </c>
      <c r="AD10" s="78">
        <v>289538329</v>
      </c>
      <c r="AE10" s="79">
        <v>93824950</v>
      </c>
      <c r="AF10" s="79">
        <f aca="true" t="shared" si="14" ref="AF10:AF36">$AD10+$AE10</f>
        <v>383363279</v>
      </c>
      <c r="AG10" s="40">
        <f>IF(1683418313=0,0,1144246523/1683418313)</f>
        <v>0.679716095615505</v>
      </c>
      <c r="AH10" s="40">
        <f aca="true" t="shared" si="15" ref="AH10:AH36">IF($AF10=0,0,(($T10/$AF10)-1))</f>
        <v>0.13133303776859662</v>
      </c>
      <c r="AI10" s="12">
        <v>1657321895</v>
      </c>
      <c r="AJ10" s="12">
        <v>1683418313</v>
      </c>
      <c r="AK10" s="12">
        <v>1144246523</v>
      </c>
      <c r="AL10" s="12"/>
    </row>
    <row r="11" spans="1:38" s="13" customFormat="1" ht="12.75">
      <c r="A11" s="29" t="s">
        <v>95</v>
      </c>
      <c r="B11" s="61" t="s">
        <v>81</v>
      </c>
      <c r="C11" s="39" t="s">
        <v>82</v>
      </c>
      <c r="D11" s="78">
        <v>3567710570</v>
      </c>
      <c r="E11" s="79">
        <v>1063748483</v>
      </c>
      <c r="F11" s="80">
        <f t="shared" si="0"/>
        <v>4631459053</v>
      </c>
      <c r="G11" s="78">
        <v>3567710570</v>
      </c>
      <c r="H11" s="79">
        <v>1063748483</v>
      </c>
      <c r="I11" s="81">
        <f t="shared" si="1"/>
        <v>4631459053</v>
      </c>
      <c r="J11" s="78">
        <v>1006460820</v>
      </c>
      <c r="K11" s="79">
        <v>130695281</v>
      </c>
      <c r="L11" s="79">
        <f t="shared" si="2"/>
        <v>1137156101</v>
      </c>
      <c r="M11" s="40">
        <f t="shared" si="3"/>
        <v>0.2455286958142087</v>
      </c>
      <c r="N11" s="106">
        <v>862958508</v>
      </c>
      <c r="O11" s="107">
        <v>120601804</v>
      </c>
      <c r="P11" s="108">
        <f t="shared" si="4"/>
        <v>983560312</v>
      </c>
      <c r="Q11" s="40">
        <f t="shared" si="5"/>
        <v>0.21236511016175447</v>
      </c>
      <c r="R11" s="106">
        <v>531869344</v>
      </c>
      <c r="S11" s="108">
        <v>182803926</v>
      </c>
      <c r="T11" s="108">
        <f t="shared" si="6"/>
        <v>714673270</v>
      </c>
      <c r="U11" s="40">
        <f t="shared" si="7"/>
        <v>0.1543084504951144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2401288672</v>
      </c>
      <c r="AA11" s="79">
        <f t="shared" si="11"/>
        <v>434101011</v>
      </c>
      <c r="AB11" s="79">
        <f t="shared" si="12"/>
        <v>2835389683</v>
      </c>
      <c r="AC11" s="40">
        <f t="shared" si="13"/>
        <v>0.6122022564710775</v>
      </c>
      <c r="AD11" s="78">
        <v>680932429</v>
      </c>
      <c r="AE11" s="79">
        <v>146610717</v>
      </c>
      <c r="AF11" s="79">
        <f t="shared" si="14"/>
        <v>827543146</v>
      </c>
      <c r="AG11" s="40">
        <f>IF(4656473627=0,0,2649010310/4656473627)</f>
        <v>0.5688876437826328</v>
      </c>
      <c r="AH11" s="40">
        <f t="shared" si="15"/>
        <v>-0.1363915302127341</v>
      </c>
      <c r="AI11" s="12">
        <v>4646363656</v>
      </c>
      <c r="AJ11" s="12">
        <v>4656473627</v>
      </c>
      <c r="AK11" s="12">
        <v>2649010310</v>
      </c>
      <c r="AL11" s="12"/>
    </row>
    <row r="12" spans="1:38" s="13" customFormat="1" ht="12.75">
      <c r="A12" s="29" t="s">
        <v>95</v>
      </c>
      <c r="B12" s="61" t="s">
        <v>553</v>
      </c>
      <c r="C12" s="39" t="s">
        <v>554</v>
      </c>
      <c r="D12" s="78">
        <v>131130758</v>
      </c>
      <c r="E12" s="79">
        <v>27852100</v>
      </c>
      <c r="F12" s="80">
        <f t="shared" si="0"/>
        <v>158982858</v>
      </c>
      <c r="G12" s="78">
        <v>131130758</v>
      </c>
      <c r="H12" s="79">
        <v>27852100</v>
      </c>
      <c r="I12" s="81">
        <f t="shared" si="1"/>
        <v>158982858</v>
      </c>
      <c r="J12" s="78">
        <v>47079194</v>
      </c>
      <c r="K12" s="79">
        <v>6836413</v>
      </c>
      <c r="L12" s="79">
        <f t="shared" si="2"/>
        <v>53915607</v>
      </c>
      <c r="M12" s="40">
        <f t="shared" si="3"/>
        <v>0.3391284298084514</v>
      </c>
      <c r="N12" s="106">
        <v>31901011</v>
      </c>
      <c r="O12" s="107">
        <v>4343614</v>
      </c>
      <c r="P12" s="108">
        <f t="shared" si="4"/>
        <v>36244625</v>
      </c>
      <c r="Q12" s="40">
        <f t="shared" si="5"/>
        <v>0.2279781949825056</v>
      </c>
      <c r="R12" s="106">
        <v>10229966</v>
      </c>
      <c r="S12" s="108">
        <v>1097191</v>
      </c>
      <c r="T12" s="108">
        <f t="shared" si="6"/>
        <v>11327157</v>
      </c>
      <c r="U12" s="40">
        <f t="shared" si="7"/>
        <v>0.07124766243666346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89210171</v>
      </c>
      <c r="AA12" s="79">
        <f t="shared" si="11"/>
        <v>12277218</v>
      </c>
      <c r="AB12" s="79">
        <f t="shared" si="12"/>
        <v>101487389</v>
      </c>
      <c r="AC12" s="40">
        <f t="shared" si="13"/>
        <v>0.6383542872276204</v>
      </c>
      <c r="AD12" s="78">
        <v>31814790</v>
      </c>
      <c r="AE12" s="79">
        <v>4576311</v>
      </c>
      <c r="AF12" s="79">
        <f t="shared" si="14"/>
        <v>36391101</v>
      </c>
      <c r="AG12" s="40">
        <f>IF(152899511=0,0,106867618/152899511)</f>
        <v>0.698940220940275</v>
      </c>
      <c r="AH12" s="40">
        <f t="shared" si="15"/>
        <v>-0.6887382714801622</v>
      </c>
      <c r="AI12" s="12">
        <v>148415102</v>
      </c>
      <c r="AJ12" s="12">
        <v>152899511</v>
      </c>
      <c r="AK12" s="12">
        <v>106867618</v>
      </c>
      <c r="AL12" s="12"/>
    </row>
    <row r="13" spans="1:38" s="13" customFormat="1" ht="12.75">
      <c r="A13" s="29" t="s">
        <v>95</v>
      </c>
      <c r="B13" s="61" t="s">
        <v>555</v>
      </c>
      <c r="C13" s="39" t="s">
        <v>556</v>
      </c>
      <c r="D13" s="78">
        <v>686972709</v>
      </c>
      <c r="E13" s="79">
        <v>150257273</v>
      </c>
      <c r="F13" s="80">
        <f t="shared" si="0"/>
        <v>837229982</v>
      </c>
      <c r="G13" s="78">
        <v>706803599</v>
      </c>
      <c r="H13" s="79">
        <v>220426060</v>
      </c>
      <c r="I13" s="81">
        <f t="shared" si="1"/>
        <v>927229659</v>
      </c>
      <c r="J13" s="78">
        <v>145190319</v>
      </c>
      <c r="K13" s="79">
        <v>23885315</v>
      </c>
      <c r="L13" s="79">
        <f t="shared" si="2"/>
        <v>169075634</v>
      </c>
      <c r="M13" s="40">
        <f t="shared" si="3"/>
        <v>0.20194646349872358</v>
      </c>
      <c r="N13" s="106">
        <v>176335280</v>
      </c>
      <c r="O13" s="107">
        <v>39868522</v>
      </c>
      <c r="P13" s="108">
        <f t="shared" si="4"/>
        <v>216203802</v>
      </c>
      <c r="Q13" s="40">
        <f t="shared" si="5"/>
        <v>0.25823705152498944</v>
      </c>
      <c r="R13" s="106">
        <v>142667585</v>
      </c>
      <c r="S13" s="108">
        <v>44993373</v>
      </c>
      <c r="T13" s="108">
        <f t="shared" si="6"/>
        <v>187660958</v>
      </c>
      <c r="U13" s="40">
        <f t="shared" si="7"/>
        <v>0.2023888646987294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464193184</v>
      </c>
      <c r="AA13" s="79">
        <f t="shared" si="11"/>
        <v>108747210</v>
      </c>
      <c r="AB13" s="79">
        <f t="shared" si="12"/>
        <v>572940394</v>
      </c>
      <c r="AC13" s="40">
        <f t="shared" si="13"/>
        <v>0.6179055948424963</v>
      </c>
      <c r="AD13" s="78">
        <v>115335591</v>
      </c>
      <c r="AE13" s="79">
        <v>33915645</v>
      </c>
      <c r="AF13" s="79">
        <f t="shared" si="14"/>
        <v>149251236</v>
      </c>
      <c r="AG13" s="40">
        <f>IF(819308566=0,0,442878111/819308566)</f>
        <v>0.5405510565600506</v>
      </c>
      <c r="AH13" s="40">
        <f t="shared" si="15"/>
        <v>0.257349439973817</v>
      </c>
      <c r="AI13" s="12">
        <v>765093478</v>
      </c>
      <c r="AJ13" s="12">
        <v>819308566</v>
      </c>
      <c r="AK13" s="12">
        <v>442878111</v>
      </c>
      <c r="AL13" s="12"/>
    </row>
    <row r="14" spans="1:38" s="13" customFormat="1" ht="12.75">
      <c r="A14" s="29" t="s">
        <v>114</v>
      </c>
      <c r="B14" s="61" t="s">
        <v>557</v>
      </c>
      <c r="C14" s="39" t="s">
        <v>558</v>
      </c>
      <c r="D14" s="78">
        <v>257142637</v>
      </c>
      <c r="E14" s="79">
        <v>965270</v>
      </c>
      <c r="F14" s="80">
        <f t="shared" si="0"/>
        <v>258107907</v>
      </c>
      <c r="G14" s="78">
        <v>298228002</v>
      </c>
      <c r="H14" s="79">
        <v>2855000</v>
      </c>
      <c r="I14" s="81">
        <f t="shared" si="1"/>
        <v>301083002</v>
      </c>
      <c r="J14" s="78">
        <v>81596627</v>
      </c>
      <c r="K14" s="79">
        <v>109240</v>
      </c>
      <c r="L14" s="79">
        <f t="shared" si="2"/>
        <v>81705867</v>
      </c>
      <c r="M14" s="40">
        <f t="shared" si="3"/>
        <v>0.3165570088482411</v>
      </c>
      <c r="N14" s="106">
        <v>75252809</v>
      </c>
      <c r="O14" s="107">
        <v>0</v>
      </c>
      <c r="P14" s="108">
        <f t="shared" si="4"/>
        <v>75252809</v>
      </c>
      <c r="Q14" s="40">
        <f t="shared" si="5"/>
        <v>0.2915556128235932</v>
      </c>
      <c r="R14" s="106">
        <v>77572617</v>
      </c>
      <c r="S14" s="108">
        <v>3179108</v>
      </c>
      <c r="T14" s="108">
        <f t="shared" si="6"/>
        <v>80751725</v>
      </c>
      <c r="U14" s="40">
        <f t="shared" si="7"/>
        <v>0.268204197724852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234422053</v>
      </c>
      <c r="AA14" s="79">
        <f t="shared" si="11"/>
        <v>3288348</v>
      </c>
      <c r="AB14" s="79">
        <f t="shared" si="12"/>
        <v>237710401</v>
      </c>
      <c r="AC14" s="40">
        <f t="shared" si="13"/>
        <v>0.7895178386722742</v>
      </c>
      <c r="AD14" s="78">
        <v>64740700</v>
      </c>
      <c r="AE14" s="79">
        <v>228241</v>
      </c>
      <c r="AF14" s="79">
        <f t="shared" si="14"/>
        <v>64968941</v>
      </c>
      <c r="AG14" s="40">
        <f>IF(278792268=0,0,215522580/278792268)</f>
        <v>0.7730579529558546</v>
      </c>
      <c r="AH14" s="40">
        <f t="shared" si="15"/>
        <v>0.24292814007850305</v>
      </c>
      <c r="AI14" s="12">
        <v>315158000</v>
      </c>
      <c r="AJ14" s="12">
        <v>278792268</v>
      </c>
      <c r="AK14" s="12">
        <v>215522580</v>
      </c>
      <c r="AL14" s="12"/>
    </row>
    <row r="15" spans="1:38" s="57" customFormat="1" ht="12.75">
      <c r="A15" s="62"/>
      <c r="B15" s="63" t="s">
        <v>559</v>
      </c>
      <c r="C15" s="32"/>
      <c r="D15" s="82">
        <f>SUM(D9:D14)</f>
        <v>6495533674</v>
      </c>
      <c r="E15" s="83">
        <f>SUM(E9:E14)</f>
        <v>1659498927</v>
      </c>
      <c r="F15" s="91">
        <f t="shared" si="0"/>
        <v>8155032601</v>
      </c>
      <c r="G15" s="82">
        <f>SUM(G9:G14)</f>
        <v>6556449929</v>
      </c>
      <c r="H15" s="83">
        <f>SUM(H9:H14)</f>
        <v>1731557444</v>
      </c>
      <c r="I15" s="84">
        <f t="shared" si="1"/>
        <v>8288007373</v>
      </c>
      <c r="J15" s="82">
        <f>SUM(J9:J14)</f>
        <v>1569509885</v>
      </c>
      <c r="K15" s="83">
        <f>SUM(K9:K14)</f>
        <v>198113160</v>
      </c>
      <c r="L15" s="83">
        <f t="shared" si="2"/>
        <v>1767623045</v>
      </c>
      <c r="M15" s="44">
        <f t="shared" si="3"/>
        <v>0.21675241920961144</v>
      </c>
      <c r="N15" s="112">
        <f>SUM(N9:N14)</f>
        <v>1563379984</v>
      </c>
      <c r="O15" s="113">
        <f>SUM(O9:O14)</f>
        <v>293468221</v>
      </c>
      <c r="P15" s="114">
        <f t="shared" si="4"/>
        <v>1856848205</v>
      </c>
      <c r="Q15" s="44">
        <f t="shared" si="5"/>
        <v>0.22769353549516239</v>
      </c>
      <c r="R15" s="112">
        <f>SUM(R9:R14)</f>
        <v>1178087217</v>
      </c>
      <c r="S15" s="114">
        <f>SUM(S9:S14)</f>
        <v>360124354</v>
      </c>
      <c r="T15" s="114">
        <f t="shared" si="6"/>
        <v>1538211571</v>
      </c>
      <c r="U15" s="44">
        <f t="shared" si="7"/>
        <v>0.18559486035341394</v>
      </c>
      <c r="V15" s="112">
        <f>SUM(V9:V14)</f>
        <v>0</v>
      </c>
      <c r="W15" s="114">
        <f>SUM(W9:W14)</f>
        <v>0</v>
      </c>
      <c r="X15" s="114">
        <f t="shared" si="8"/>
        <v>0</v>
      </c>
      <c r="Y15" s="44">
        <f t="shared" si="9"/>
        <v>0</v>
      </c>
      <c r="Z15" s="82">
        <f t="shared" si="10"/>
        <v>4310977086</v>
      </c>
      <c r="AA15" s="83">
        <f t="shared" si="11"/>
        <v>851705735</v>
      </c>
      <c r="AB15" s="83">
        <f t="shared" si="12"/>
        <v>5162682821</v>
      </c>
      <c r="AC15" s="44">
        <f t="shared" si="13"/>
        <v>0.6229100178914622</v>
      </c>
      <c r="AD15" s="82">
        <f>SUM(AD9:AD14)</f>
        <v>1237660268</v>
      </c>
      <c r="AE15" s="83">
        <f>SUM(AE9:AE14)</f>
        <v>298195357</v>
      </c>
      <c r="AF15" s="83">
        <f t="shared" si="14"/>
        <v>1535855625</v>
      </c>
      <c r="AG15" s="44">
        <f>IF(278792268=0,0,215522580/278792268)</f>
        <v>0.7730579529558546</v>
      </c>
      <c r="AH15" s="44">
        <f t="shared" si="15"/>
        <v>0.0015339631939688125</v>
      </c>
      <c r="AI15" s="64">
        <f>SUM(AI9:AI14)</f>
        <v>7933218081</v>
      </c>
      <c r="AJ15" s="64">
        <f>SUM(AJ9:AJ14)</f>
        <v>8040335658</v>
      </c>
      <c r="AK15" s="64">
        <f>SUM(AK9:AK14)</f>
        <v>4852859909</v>
      </c>
      <c r="AL15" s="64"/>
    </row>
    <row r="16" spans="1:38" s="13" customFormat="1" ht="12.75">
      <c r="A16" s="29" t="s">
        <v>95</v>
      </c>
      <c r="B16" s="61" t="s">
        <v>560</v>
      </c>
      <c r="C16" s="39" t="s">
        <v>561</v>
      </c>
      <c r="D16" s="78">
        <v>105477586</v>
      </c>
      <c r="E16" s="79">
        <v>33205000</v>
      </c>
      <c r="F16" s="80">
        <f t="shared" si="0"/>
        <v>138682586</v>
      </c>
      <c r="G16" s="78">
        <v>105477586</v>
      </c>
      <c r="H16" s="79">
        <v>33205000</v>
      </c>
      <c r="I16" s="81">
        <f t="shared" si="1"/>
        <v>138682586</v>
      </c>
      <c r="J16" s="78">
        <v>23079778</v>
      </c>
      <c r="K16" s="79">
        <v>7813993</v>
      </c>
      <c r="L16" s="79">
        <f t="shared" si="2"/>
        <v>30893771</v>
      </c>
      <c r="M16" s="40">
        <f t="shared" si="3"/>
        <v>0.22276604360406144</v>
      </c>
      <c r="N16" s="106">
        <v>27892561</v>
      </c>
      <c r="O16" s="107">
        <v>30205299</v>
      </c>
      <c r="P16" s="108">
        <f t="shared" si="4"/>
        <v>58097860</v>
      </c>
      <c r="Q16" s="40">
        <f t="shared" si="5"/>
        <v>0.4189268579113458</v>
      </c>
      <c r="R16" s="106">
        <v>26189344</v>
      </c>
      <c r="S16" s="108">
        <v>8639206</v>
      </c>
      <c r="T16" s="108">
        <f t="shared" si="6"/>
        <v>34828550</v>
      </c>
      <c r="U16" s="40">
        <f t="shared" si="7"/>
        <v>0.25113859644930475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77161683</v>
      </c>
      <c r="AA16" s="79">
        <f t="shared" si="11"/>
        <v>46658498</v>
      </c>
      <c r="AB16" s="79">
        <f t="shared" si="12"/>
        <v>123820181</v>
      </c>
      <c r="AC16" s="40">
        <f t="shared" si="13"/>
        <v>0.8928314979647121</v>
      </c>
      <c r="AD16" s="78">
        <v>23709970</v>
      </c>
      <c r="AE16" s="79">
        <v>5865675</v>
      </c>
      <c r="AF16" s="79">
        <f t="shared" si="14"/>
        <v>29575645</v>
      </c>
      <c r="AG16" s="40">
        <f>IF(176129000=0,0,104337495/176129000)</f>
        <v>0.592392479375912</v>
      </c>
      <c r="AH16" s="40">
        <f t="shared" si="15"/>
        <v>0.17760914428070795</v>
      </c>
      <c r="AI16" s="12">
        <v>162474561</v>
      </c>
      <c r="AJ16" s="12">
        <v>176129000</v>
      </c>
      <c r="AK16" s="12">
        <v>104337495</v>
      </c>
      <c r="AL16" s="12"/>
    </row>
    <row r="17" spans="1:38" s="13" customFormat="1" ht="12.75">
      <c r="A17" s="29" t="s">
        <v>95</v>
      </c>
      <c r="B17" s="61" t="s">
        <v>562</v>
      </c>
      <c r="C17" s="39" t="s">
        <v>563</v>
      </c>
      <c r="D17" s="78">
        <v>172492088</v>
      </c>
      <c r="E17" s="79">
        <v>30190000</v>
      </c>
      <c r="F17" s="80">
        <f t="shared" si="0"/>
        <v>202682088</v>
      </c>
      <c r="G17" s="78">
        <v>169997080</v>
      </c>
      <c r="H17" s="79">
        <v>30190000</v>
      </c>
      <c r="I17" s="81">
        <f t="shared" si="1"/>
        <v>200187080</v>
      </c>
      <c r="J17" s="78">
        <v>40140874</v>
      </c>
      <c r="K17" s="79">
        <v>7777196</v>
      </c>
      <c r="L17" s="79">
        <f t="shared" si="2"/>
        <v>47918070</v>
      </c>
      <c r="M17" s="40">
        <f t="shared" si="3"/>
        <v>0.23641985571018984</v>
      </c>
      <c r="N17" s="106">
        <v>26221122</v>
      </c>
      <c r="O17" s="107">
        <v>2915292</v>
      </c>
      <c r="P17" s="108">
        <f t="shared" si="4"/>
        <v>29136414</v>
      </c>
      <c r="Q17" s="40">
        <f t="shared" si="5"/>
        <v>0.1437542620934515</v>
      </c>
      <c r="R17" s="106">
        <v>42529086</v>
      </c>
      <c r="S17" s="108">
        <v>11246878</v>
      </c>
      <c r="T17" s="108">
        <f t="shared" si="6"/>
        <v>53775964</v>
      </c>
      <c r="U17" s="40">
        <f t="shared" si="7"/>
        <v>0.2686285448591388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108891082</v>
      </c>
      <c r="AA17" s="79">
        <f t="shared" si="11"/>
        <v>21939366</v>
      </c>
      <c r="AB17" s="79">
        <f t="shared" si="12"/>
        <v>130830448</v>
      </c>
      <c r="AC17" s="40">
        <f t="shared" si="13"/>
        <v>0.6535409178254661</v>
      </c>
      <c r="AD17" s="78">
        <v>32694371</v>
      </c>
      <c r="AE17" s="79">
        <v>1832872</v>
      </c>
      <c r="AF17" s="79">
        <f t="shared" si="14"/>
        <v>34527243</v>
      </c>
      <c r="AG17" s="40">
        <f>IF(182460749=0,0,96707827/182460749)</f>
        <v>0.5300198948542078</v>
      </c>
      <c r="AH17" s="40">
        <f t="shared" si="15"/>
        <v>0.5574937159042788</v>
      </c>
      <c r="AI17" s="12">
        <v>179095635</v>
      </c>
      <c r="AJ17" s="12">
        <v>182460749</v>
      </c>
      <c r="AK17" s="12">
        <v>96707827</v>
      </c>
      <c r="AL17" s="12"/>
    </row>
    <row r="18" spans="1:38" s="13" customFormat="1" ht="12.75">
      <c r="A18" s="29" t="s">
        <v>95</v>
      </c>
      <c r="B18" s="61" t="s">
        <v>564</v>
      </c>
      <c r="C18" s="39" t="s">
        <v>565</v>
      </c>
      <c r="D18" s="78">
        <v>586900543</v>
      </c>
      <c r="E18" s="79">
        <v>59184000</v>
      </c>
      <c r="F18" s="80">
        <f t="shared" si="0"/>
        <v>646084543</v>
      </c>
      <c r="G18" s="78">
        <v>681705243</v>
      </c>
      <c r="H18" s="79">
        <v>105534000</v>
      </c>
      <c r="I18" s="81">
        <f t="shared" si="1"/>
        <v>787239243</v>
      </c>
      <c r="J18" s="78">
        <v>104816148</v>
      </c>
      <c r="K18" s="79">
        <v>14245460</v>
      </c>
      <c r="L18" s="79">
        <f t="shared" si="2"/>
        <v>119061608</v>
      </c>
      <c r="M18" s="40">
        <f t="shared" si="3"/>
        <v>0.18428177750105995</v>
      </c>
      <c r="N18" s="106">
        <v>107184444</v>
      </c>
      <c r="O18" s="107">
        <v>33286074</v>
      </c>
      <c r="P18" s="108">
        <f t="shared" si="4"/>
        <v>140470518</v>
      </c>
      <c r="Q18" s="40">
        <f t="shared" si="5"/>
        <v>0.21741816844548778</v>
      </c>
      <c r="R18" s="106">
        <v>89012486</v>
      </c>
      <c r="S18" s="108">
        <v>18714754</v>
      </c>
      <c r="T18" s="108">
        <f t="shared" si="6"/>
        <v>107727240</v>
      </c>
      <c r="U18" s="40">
        <f t="shared" si="7"/>
        <v>0.1368418062969963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301013078</v>
      </c>
      <c r="AA18" s="79">
        <f t="shared" si="11"/>
        <v>66246288</v>
      </c>
      <c r="AB18" s="79">
        <f t="shared" si="12"/>
        <v>367259366</v>
      </c>
      <c r="AC18" s="40">
        <f t="shared" si="13"/>
        <v>0.4665155723188459</v>
      </c>
      <c r="AD18" s="78">
        <v>93458964</v>
      </c>
      <c r="AE18" s="79">
        <v>3965788</v>
      </c>
      <c r="AF18" s="79">
        <f t="shared" si="14"/>
        <v>97424752</v>
      </c>
      <c r="AG18" s="40">
        <f>IF(592696402=0,0,289689133/592696402)</f>
        <v>0.48876479091567016</v>
      </c>
      <c r="AH18" s="40">
        <f t="shared" si="15"/>
        <v>0.10574815730606124</v>
      </c>
      <c r="AI18" s="12">
        <v>583568197</v>
      </c>
      <c r="AJ18" s="12">
        <v>592696402</v>
      </c>
      <c r="AK18" s="12">
        <v>289689133</v>
      </c>
      <c r="AL18" s="12"/>
    </row>
    <row r="19" spans="1:38" s="13" customFormat="1" ht="12.75">
      <c r="A19" s="29" t="s">
        <v>95</v>
      </c>
      <c r="B19" s="61" t="s">
        <v>566</v>
      </c>
      <c r="C19" s="39" t="s">
        <v>567</v>
      </c>
      <c r="D19" s="78">
        <v>371877000</v>
      </c>
      <c r="E19" s="79">
        <v>37392000</v>
      </c>
      <c r="F19" s="80">
        <f t="shared" si="0"/>
        <v>409269000</v>
      </c>
      <c r="G19" s="78">
        <v>371877035</v>
      </c>
      <c r="H19" s="79">
        <v>37392000</v>
      </c>
      <c r="I19" s="81">
        <f t="shared" si="1"/>
        <v>409269035</v>
      </c>
      <c r="J19" s="78">
        <v>101800635</v>
      </c>
      <c r="K19" s="79">
        <v>5410071</v>
      </c>
      <c r="L19" s="79">
        <f t="shared" si="2"/>
        <v>107210706</v>
      </c>
      <c r="M19" s="40">
        <f t="shared" si="3"/>
        <v>0.26195657623714474</v>
      </c>
      <c r="N19" s="106">
        <v>67435813</v>
      </c>
      <c r="O19" s="107">
        <v>7914475</v>
      </c>
      <c r="P19" s="108">
        <f t="shared" si="4"/>
        <v>75350288</v>
      </c>
      <c r="Q19" s="40">
        <f t="shared" si="5"/>
        <v>0.18410944391097298</v>
      </c>
      <c r="R19" s="106">
        <v>87518022</v>
      </c>
      <c r="S19" s="108">
        <v>1964127</v>
      </c>
      <c r="T19" s="108">
        <f t="shared" si="6"/>
        <v>89482149</v>
      </c>
      <c r="U19" s="40">
        <f t="shared" si="7"/>
        <v>0.21863894247459986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256754470</v>
      </c>
      <c r="AA19" s="79">
        <f t="shared" si="11"/>
        <v>15288673</v>
      </c>
      <c r="AB19" s="79">
        <f t="shared" si="12"/>
        <v>272043143</v>
      </c>
      <c r="AC19" s="40">
        <f t="shared" si="13"/>
        <v>0.6647049244759012</v>
      </c>
      <c r="AD19" s="78">
        <v>77979081</v>
      </c>
      <c r="AE19" s="79">
        <v>3962776</v>
      </c>
      <c r="AF19" s="79">
        <f t="shared" si="14"/>
        <v>81941857</v>
      </c>
      <c r="AG19" s="40">
        <f>IF(376349000=0,0,216259485/376349000)</f>
        <v>0.5746248428984798</v>
      </c>
      <c r="AH19" s="40">
        <f t="shared" si="15"/>
        <v>0.09202002829884615</v>
      </c>
      <c r="AI19" s="12">
        <v>385300453</v>
      </c>
      <c r="AJ19" s="12">
        <v>376349000</v>
      </c>
      <c r="AK19" s="12">
        <v>216259485</v>
      </c>
      <c r="AL19" s="12"/>
    </row>
    <row r="20" spans="1:38" s="13" customFormat="1" ht="12.75">
      <c r="A20" s="29" t="s">
        <v>95</v>
      </c>
      <c r="B20" s="61" t="s">
        <v>568</v>
      </c>
      <c r="C20" s="39" t="s">
        <v>569</v>
      </c>
      <c r="D20" s="78">
        <v>256505811</v>
      </c>
      <c r="E20" s="79">
        <v>105703023</v>
      </c>
      <c r="F20" s="80">
        <f t="shared" si="0"/>
        <v>362208834</v>
      </c>
      <c r="G20" s="78">
        <v>256505811</v>
      </c>
      <c r="H20" s="79">
        <v>67694023</v>
      </c>
      <c r="I20" s="81">
        <f t="shared" si="1"/>
        <v>324199834</v>
      </c>
      <c r="J20" s="78">
        <v>54146379</v>
      </c>
      <c r="K20" s="79">
        <v>15760781</v>
      </c>
      <c r="L20" s="79">
        <f t="shared" si="2"/>
        <v>69907160</v>
      </c>
      <c r="M20" s="40">
        <f t="shared" si="3"/>
        <v>0.19300236062160758</v>
      </c>
      <c r="N20" s="106">
        <v>51077572</v>
      </c>
      <c r="O20" s="107">
        <v>19384913</v>
      </c>
      <c r="P20" s="108">
        <f t="shared" si="4"/>
        <v>70462485</v>
      </c>
      <c r="Q20" s="40">
        <f t="shared" si="5"/>
        <v>0.1945355231175836</v>
      </c>
      <c r="R20" s="106">
        <v>51515475</v>
      </c>
      <c r="S20" s="108">
        <v>4890989</v>
      </c>
      <c r="T20" s="108">
        <f t="shared" si="6"/>
        <v>56406464</v>
      </c>
      <c r="U20" s="40">
        <f t="shared" si="7"/>
        <v>0.17398671462614013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156739426</v>
      </c>
      <c r="AA20" s="79">
        <f t="shared" si="11"/>
        <v>40036683</v>
      </c>
      <c r="AB20" s="79">
        <f t="shared" si="12"/>
        <v>196776109</v>
      </c>
      <c r="AC20" s="40">
        <f t="shared" si="13"/>
        <v>0.6069593144825608</v>
      </c>
      <c r="AD20" s="78">
        <v>39609179</v>
      </c>
      <c r="AE20" s="79">
        <v>3128742</v>
      </c>
      <c r="AF20" s="79">
        <f t="shared" si="14"/>
        <v>42737921</v>
      </c>
      <c r="AG20" s="40">
        <f>IF(298594099=0,0,157188669/298594099)</f>
        <v>0.5264292547187946</v>
      </c>
      <c r="AH20" s="40">
        <f t="shared" si="15"/>
        <v>0.3198223657159178</v>
      </c>
      <c r="AI20" s="12">
        <v>277737354</v>
      </c>
      <c r="AJ20" s="12">
        <v>298594099</v>
      </c>
      <c r="AK20" s="12">
        <v>157188669</v>
      </c>
      <c r="AL20" s="12"/>
    </row>
    <row r="21" spans="1:38" s="13" customFormat="1" ht="12.75">
      <c r="A21" s="29" t="s">
        <v>114</v>
      </c>
      <c r="B21" s="61" t="s">
        <v>570</v>
      </c>
      <c r="C21" s="39" t="s">
        <v>571</v>
      </c>
      <c r="D21" s="78">
        <v>463866533</v>
      </c>
      <c r="E21" s="79">
        <v>282763552</v>
      </c>
      <c r="F21" s="81">
        <f t="shared" si="0"/>
        <v>746630085</v>
      </c>
      <c r="G21" s="78">
        <v>503255924</v>
      </c>
      <c r="H21" s="79">
        <v>277495068</v>
      </c>
      <c r="I21" s="81">
        <f t="shared" si="1"/>
        <v>780750992</v>
      </c>
      <c r="J21" s="78">
        <v>99444452</v>
      </c>
      <c r="K21" s="79">
        <v>15700245</v>
      </c>
      <c r="L21" s="79">
        <f t="shared" si="2"/>
        <v>115144697</v>
      </c>
      <c r="M21" s="40">
        <f t="shared" si="3"/>
        <v>0.1542192034761096</v>
      </c>
      <c r="N21" s="106">
        <v>189238928</v>
      </c>
      <c r="O21" s="107">
        <v>32322713</v>
      </c>
      <c r="P21" s="108">
        <f t="shared" si="4"/>
        <v>221561641</v>
      </c>
      <c r="Q21" s="40">
        <f t="shared" si="5"/>
        <v>0.29674887933292965</v>
      </c>
      <c r="R21" s="106">
        <v>136506872</v>
      </c>
      <c r="S21" s="108">
        <v>13561085</v>
      </c>
      <c r="T21" s="108">
        <f t="shared" si="6"/>
        <v>150067957</v>
      </c>
      <c r="U21" s="40">
        <f t="shared" si="7"/>
        <v>0.19220975514303285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425190252</v>
      </c>
      <c r="AA21" s="79">
        <f t="shared" si="11"/>
        <v>61584043</v>
      </c>
      <c r="AB21" s="79">
        <f t="shared" si="12"/>
        <v>486774295</v>
      </c>
      <c r="AC21" s="40">
        <f t="shared" si="13"/>
        <v>0.6234693263124281</v>
      </c>
      <c r="AD21" s="78">
        <v>148559267</v>
      </c>
      <c r="AE21" s="79">
        <v>49205028</v>
      </c>
      <c r="AF21" s="79">
        <f t="shared" si="14"/>
        <v>197764295</v>
      </c>
      <c r="AG21" s="40">
        <f>IF(813958563=0,0,576312970/813958563)</f>
        <v>0.7080372345686595</v>
      </c>
      <c r="AH21" s="40">
        <f t="shared" si="15"/>
        <v>-0.24117770095961966</v>
      </c>
      <c r="AI21" s="12">
        <v>783492153</v>
      </c>
      <c r="AJ21" s="12">
        <v>813958563</v>
      </c>
      <c r="AK21" s="12">
        <v>576312970</v>
      </c>
      <c r="AL21" s="12"/>
    </row>
    <row r="22" spans="1:38" s="57" customFormat="1" ht="12.75">
      <c r="A22" s="62"/>
      <c r="B22" s="63" t="s">
        <v>572</v>
      </c>
      <c r="C22" s="32"/>
      <c r="D22" s="82">
        <f>SUM(D16:D21)</f>
        <v>1957119561</v>
      </c>
      <c r="E22" s="83">
        <f>SUM(E16:E21)</f>
        <v>548437575</v>
      </c>
      <c r="F22" s="91">
        <f t="shared" si="0"/>
        <v>2505557136</v>
      </c>
      <c r="G22" s="82">
        <f>SUM(G16:G21)</f>
        <v>2088818679</v>
      </c>
      <c r="H22" s="83">
        <f>SUM(H16:H21)</f>
        <v>551510091</v>
      </c>
      <c r="I22" s="84">
        <f t="shared" si="1"/>
        <v>2640328770</v>
      </c>
      <c r="J22" s="82">
        <f>SUM(J16:J21)</f>
        <v>423428266</v>
      </c>
      <c r="K22" s="83">
        <f>SUM(K16:K21)</f>
        <v>66707746</v>
      </c>
      <c r="L22" s="83">
        <f t="shared" si="2"/>
        <v>490136012</v>
      </c>
      <c r="M22" s="44">
        <f t="shared" si="3"/>
        <v>0.19561957097593005</v>
      </c>
      <c r="N22" s="112">
        <f>SUM(N16:N21)</f>
        <v>469050440</v>
      </c>
      <c r="O22" s="113">
        <f>SUM(O16:O21)</f>
        <v>126028766</v>
      </c>
      <c r="P22" s="114">
        <f t="shared" si="4"/>
        <v>595079206</v>
      </c>
      <c r="Q22" s="44">
        <f t="shared" si="5"/>
        <v>0.23750374615284767</v>
      </c>
      <c r="R22" s="112">
        <f>SUM(R16:R21)</f>
        <v>433271285</v>
      </c>
      <c r="S22" s="114">
        <f>SUM(S16:S21)</f>
        <v>59017039</v>
      </c>
      <c r="T22" s="114">
        <f t="shared" si="6"/>
        <v>492288324</v>
      </c>
      <c r="U22" s="44">
        <f t="shared" si="7"/>
        <v>0.18644963066474482</v>
      </c>
      <c r="V22" s="112">
        <f>SUM(V16:V21)</f>
        <v>0</v>
      </c>
      <c r="W22" s="114">
        <f>SUM(W16:W21)</f>
        <v>0</v>
      </c>
      <c r="X22" s="114">
        <f t="shared" si="8"/>
        <v>0</v>
      </c>
      <c r="Y22" s="44">
        <f t="shared" si="9"/>
        <v>0</v>
      </c>
      <c r="Z22" s="82">
        <f t="shared" si="10"/>
        <v>1325749991</v>
      </c>
      <c r="AA22" s="83">
        <f t="shared" si="11"/>
        <v>251753551</v>
      </c>
      <c r="AB22" s="83">
        <f t="shared" si="12"/>
        <v>1577503542</v>
      </c>
      <c r="AC22" s="44">
        <f t="shared" si="13"/>
        <v>0.5974648157168699</v>
      </c>
      <c r="AD22" s="82">
        <f>SUM(AD16:AD21)</f>
        <v>416010832</v>
      </c>
      <c r="AE22" s="83">
        <f>SUM(AE16:AE21)</f>
        <v>67960881</v>
      </c>
      <c r="AF22" s="83">
        <f t="shared" si="14"/>
        <v>483971713</v>
      </c>
      <c r="AG22" s="44">
        <f>IF(813958563=0,0,576312970/813958563)</f>
        <v>0.7080372345686595</v>
      </c>
      <c r="AH22" s="44">
        <f t="shared" si="15"/>
        <v>0.017184084888862028</v>
      </c>
      <c r="AI22" s="64">
        <f>SUM(AI16:AI21)</f>
        <v>2371668353</v>
      </c>
      <c r="AJ22" s="64">
        <f>SUM(AJ16:AJ21)</f>
        <v>2440187813</v>
      </c>
      <c r="AK22" s="64">
        <f>SUM(AK16:AK21)</f>
        <v>1440495579</v>
      </c>
      <c r="AL22" s="64"/>
    </row>
    <row r="23" spans="1:38" s="13" customFormat="1" ht="12.75">
      <c r="A23" s="29" t="s">
        <v>95</v>
      </c>
      <c r="B23" s="61" t="s">
        <v>573</v>
      </c>
      <c r="C23" s="39" t="s">
        <v>574</v>
      </c>
      <c r="D23" s="78">
        <v>403418129</v>
      </c>
      <c r="E23" s="79">
        <v>41363000</v>
      </c>
      <c r="F23" s="80">
        <f t="shared" si="0"/>
        <v>444781129</v>
      </c>
      <c r="G23" s="78">
        <v>403418129</v>
      </c>
      <c r="H23" s="79">
        <v>41363000</v>
      </c>
      <c r="I23" s="81">
        <f t="shared" si="1"/>
        <v>444781129</v>
      </c>
      <c r="J23" s="78">
        <v>88365484</v>
      </c>
      <c r="K23" s="79">
        <v>5643142</v>
      </c>
      <c r="L23" s="79">
        <f t="shared" si="2"/>
        <v>94008626</v>
      </c>
      <c r="M23" s="40">
        <f t="shared" si="3"/>
        <v>0.2113592953265785</v>
      </c>
      <c r="N23" s="106">
        <v>97117621</v>
      </c>
      <c r="O23" s="107">
        <v>2608040</v>
      </c>
      <c r="P23" s="108">
        <f t="shared" si="4"/>
        <v>99725661</v>
      </c>
      <c r="Q23" s="40">
        <f t="shared" si="5"/>
        <v>0.2242128869635564</v>
      </c>
      <c r="R23" s="106">
        <v>75417155</v>
      </c>
      <c r="S23" s="108">
        <v>3940086</v>
      </c>
      <c r="T23" s="108">
        <f t="shared" si="6"/>
        <v>79357241</v>
      </c>
      <c r="U23" s="40">
        <f t="shared" si="7"/>
        <v>0.17841863295418722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260900260</v>
      </c>
      <c r="AA23" s="79">
        <f t="shared" si="11"/>
        <v>12191268</v>
      </c>
      <c r="AB23" s="79">
        <f t="shared" si="12"/>
        <v>273091528</v>
      </c>
      <c r="AC23" s="40">
        <f t="shared" si="13"/>
        <v>0.6139908152443221</v>
      </c>
      <c r="AD23" s="78">
        <v>85173768</v>
      </c>
      <c r="AE23" s="79">
        <v>21426138</v>
      </c>
      <c r="AF23" s="79">
        <f t="shared" si="14"/>
        <v>106599906</v>
      </c>
      <c r="AG23" s="40">
        <f>IF(451659025=0,0,296349752/451659025)</f>
        <v>0.6561360132236924</v>
      </c>
      <c r="AH23" s="40">
        <f t="shared" si="15"/>
        <v>-0.2555599345462838</v>
      </c>
      <c r="AI23" s="12">
        <v>422835923</v>
      </c>
      <c r="AJ23" s="12">
        <v>451659025</v>
      </c>
      <c r="AK23" s="12">
        <v>296349752</v>
      </c>
      <c r="AL23" s="12"/>
    </row>
    <row r="24" spans="1:38" s="13" customFormat="1" ht="12.75">
      <c r="A24" s="29" t="s">
        <v>95</v>
      </c>
      <c r="B24" s="61" t="s">
        <v>575</v>
      </c>
      <c r="C24" s="39" t="s">
        <v>576</v>
      </c>
      <c r="D24" s="78">
        <v>138627368</v>
      </c>
      <c r="E24" s="79">
        <v>28723000</v>
      </c>
      <c r="F24" s="80">
        <f t="shared" si="0"/>
        <v>167350368</v>
      </c>
      <c r="G24" s="78">
        <v>188376575</v>
      </c>
      <c r="H24" s="79">
        <v>31079243</v>
      </c>
      <c r="I24" s="81">
        <f t="shared" si="1"/>
        <v>219455818</v>
      </c>
      <c r="J24" s="78">
        <v>30241733</v>
      </c>
      <c r="K24" s="79">
        <v>7336142</v>
      </c>
      <c r="L24" s="79">
        <f t="shared" si="2"/>
        <v>37577875</v>
      </c>
      <c r="M24" s="40">
        <f t="shared" si="3"/>
        <v>0.2245461151301442</v>
      </c>
      <c r="N24" s="106">
        <v>38244335</v>
      </c>
      <c r="O24" s="107">
        <v>5866788</v>
      </c>
      <c r="P24" s="108">
        <f t="shared" si="4"/>
        <v>44111123</v>
      </c>
      <c r="Q24" s="40">
        <f t="shared" si="5"/>
        <v>0.2635854556352096</v>
      </c>
      <c r="R24" s="106">
        <v>30600781</v>
      </c>
      <c r="S24" s="108">
        <v>11340509</v>
      </c>
      <c r="T24" s="108">
        <f t="shared" si="6"/>
        <v>41941290</v>
      </c>
      <c r="U24" s="40">
        <f t="shared" si="7"/>
        <v>0.1911149605521053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99086849</v>
      </c>
      <c r="AA24" s="79">
        <f t="shared" si="11"/>
        <v>24543439</v>
      </c>
      <c r="AB24" s="79">
        <f t="shared" si="12"/>
        <v>123630288</v>
      </c>
      <c r="AC24" s="40">
        <f t="shared" si="13"/>
        <v>0.5633493298409614</v>
      </c>
      <c r="AD24" s="78">
        <v>30162518</v>
      </c>
      <c r="AE24" s="79">
        <v>3439572</v>
      </c>
      <c r="AF24" s="79">
        <f t="shared" si="14"/>
        <v>33602090</v>
      </c>
      <c r="AG24" s="40">
        <f>IF(171961920=0,0,108174728/171961920)</f>
        <v>0.6290621086342837</v>
      </c>
      <c r="AH24" s="40">
        <f t="shared" si="15"/>
        <v>0.24817503911215044</v>
      </c>
      <c r="AI24" s="12">
        <v>168064934</v>
      </c>
      <c r="AJ24" s="12">
        <v>171961920</v>
      </c>
      <c r="AK24" s="12">
        <v>108174728</v>
      </c>
      <c r="AL24" s="12"/>
    </row>
    <row r="25" spans="1:38" s="13" customFormat="1" ht="12.75">
      <c r="A25" s="29" t="s">
        <v>95</v>
      </c>
      <c r="B25" s="61" t="s">
        <v>577</v>
      </c>
      <c r="C25" s="39" t="s">
        <v>578</v>
      </c>
      <c r="D25" s="78">
        <v>182725646</v>
      </c>
      <c r="E25" s="79">
        <v>71110938</v>
      </c>
      <c r="F25" s="80">
        <f t="shared" si="0"/>
        <v>253836584</v>
      </c>
      <c r="G25" s="78">
        <v>182725646</v>
      </c>
      <c r="H25" s="79">
        <v>71110938</v>
      </c>
      <c r="I25" s="81">
        <f t="shared" si="1"/>
        <v>253836584</v>
      </c>
      <c r="J25" s="78">
        <v>35109513</v>
      </c>
      <c r="K25" s="79">
        <v>10212715</v>
      </c>
      <c r="L25" s="79">
        <f t="shared" si="2"/>
        <v>45322228</v>
      </c>
      <c r="M25" s="40">
        <f t="shared" si="3"/>
        <v>0.17854884148614292</v>
      </c>
      <c r="N25" s="106">
        <v>36888152</v>
      </c>
      <c r="O25" s="107">
        <v>10536196</v>
      </c>
      <c r="P25" s="108">
        <f t="shared" si="4"/>
        <v>47424348</v>
      </c>
      <c r="Q25" s="40">
        <f t="shared" si="5"/>
        <v>0.18683023247744304</v>
      </c>
      <c r="R25" s="106">
        <v>32385267</v>
      </c>
      <c r="S25" s="108">
        <v>12139735</v>
      </c>
      <c r="T25" s="108">
        <f t="shared" si="6"/>
        <v>44525002</v>
      </c>
      <c r="U25" s="40">
        <f t="shared" si="7"/>
        <v>0.17540813581071513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104382932</v>
      </c>
      <c r="AA25" s="79">
        <f t="shared" si="11"/>
        <v>32888646</v>
      </c>
      <c r="AB25" s="79">
        <f t="shared" si="12"/>
        <v>137271578</v>
      </c>
      <c r="AC25" s="40">
        <f t="shared" si="13"/>
        <v>0.5407872097743011</v>
      </c>
      <c r="AD25" s="78">
        <v>37648735</v>
      </c>
      <c r="AE25" s="79">
        <v>11115413</v>
      </c>
      <c r="AF25" s="79">
        <f t="shared" si="14"/>
        <v>48764148</v>
      </c>
      <c r="AG25" s="40">
        <f>IF(239889804=0,0,167836303/239889804)</f>
        <v>0.6996391684908793</v>
      </c>
      <c r="AH25" s="40">
        <f t="shared" si="15"/>
        <v>-0.08693161213439016</v>
      </c>
      <c r="AI25" s="12">
        <v>218401804</v>
      </c>
      <c r="AJ25" s="12">
        <v>239889804</v>
      </c>
      <c r="AK25" s="12">
        <v>167836303</v>
      </c>
      <c r="AL25" s="12"/>
    </row>
    <row r="26" spans="1:38" s="13" customFormat="1" ht="12.75">
      <c r="A26" s="29" t="s">
        <v>95</v>
      </c>
      <c r="B26" s="61" t="s">
        <v>579</v>
      </c>
      <c r="C26" s="39" t="s">
        <v>580</v>
      </c>
      <c r="D26" s="78">
        <v>260095315</v>
      </c>
      <c r="E26" s="79">
        <v>20504000</v>
      </c>
      <c r="F26" s="80">
        <f t="shared" si="0"/>
        <v>280599315</v>
      </c>
      <c r="G26" s="78">
        <v>321419042</v>
      </c>
      <c r="H26" s="79">
        <v>23304150</v>
      </c>
      <c r="I26" s="81">
        <f t="shared" si="1"/>
        <v>344723192</v>
      </c>
      <c r="J26" s="78">
        <v>47439743</v>
      </c>
      <c r="K26" s="79">
        <v>3196044</v>
      </c>
      <c r="L26" s="79">
        <f t="shared" si="2"/>
        <v>50635787</v>
      </c>
      <c r="M26" s="40">
        <f t="shared" si="3"/>
        <v>0.18045584680062388</v>
      </c>
      <c r="N26" s="106">
        <v>86410055</v>
      </c>
      <c r="O26" s="107">
        <v>7984782</v>
      </c>
      <c r="P26" s="108">
        <f t="shared" si="4"/>
        <v>94394837</v>
      </c>
      <c r="Q26" s="40">
        <f t="shared" si="5"/>
        <v>0.33640437432999437</v>
      </c>
      <c r="R26" s="106">
        <v>33738931</v>
      </c>
      <c r="S26" s="108">
        <v>5345410</v>
      </c>
      <c r="T26" s="108">
        <f t="shared" si="6"/>
        <v>39084341</v>
      </c>
      <c r="U26" s="40">
        <f t="shared" si="7"/>
        <v>0.1133789135951143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167588729</v>
      </c>
      <c r="AA26" s="79">
        <f t="shared" si="11"/>
        <v>16526236</v>
      </c>
      <c r="AB26" s="79">
        <f t="shared" si="12"/>
        <v>184114965</v>
      </c>
      <c r="AC26" s="40">
        <f t="shared" si="13"/>
        <v>0.534095092157304</v>
      </c>
      <c r="AD26" s="78">
        <v>29231976</v>
      </c>
      <c r="AE26" s="79">
        <v>7192605</v>
      </c>
      <c r="AF26" s="79">
        <f t="shared" si="14"/>
        <v>36424581</v>
      </c>
      <c r="AG26" s="40">
        <f>IF(296344967=0,0,129574444/296344967)</f>
        <v>0.43724192555630614</v>
      </c>
      <c r="AH26" s="40">
        <f t="shared" si="15"/>
        <v>0.07302101841610753</v>
      </c>
      <c r="AI26" s="12">
        <v>269081293</v>
      </c>
      <c r="AJ26" s="12">
        <v>296344967</v>
      </c>
      <c r="AK26" s="12">
        <v>129574444</v>
      </c>
      <c r="AL26" s="12"/>
    </row>
    <row r="27" spans="1:38" s="13" customFormat="1" ht="12.75">
      <c r="A27" s="29" t="s">
        <v>95</v>
      </c>
      <c r="B27" s="61" t="s">
        <v>581</v>
      </c>
      <c r="C27" s="39" t="s">
        <v>582</v>
      </c>
      <c r="D27" s="78">
        <v>116600167</v>
      </c>
      <c r="E27" s="79">
        <v>60154000</v>
      </c>
      <c r="F27" s="80">
        <f t="shared" si="0"/>
        <v>176754167</v>
      </c>
      <c r="G27" s="78">
        <v>116600167</v>
      </c>
      <c r="H27" s="79">
        <v>60154000</v>
      </c>
      <c r="I27" s="81">
        <f t="shared" si="1"/>
        <v>176754167</v>
      </c>
      <c r="J27" s="78">
        <v>26003316</v>
      </c>
      <c r="K27" s="79">
        <v>14417111</v>
      </c>
      <c r="L27" s="79">
        <f t="shared" si="2"/>
        <v>40420427</v>
      </c>
      <c r="M27" s="40">
        <f t="shared" si="3"/>
        <v>0.2286816072630412</v>
      </c>
      <c r="N27" s="106">
        <v>21617260</v>
      </c>
      <c r="O27" s="107">
        <v>10779554</v>
      </c>
      <c r="P27" s="108">
        <f t="shared" si="4"/>
        <v>32396814</v>
      </c>
      <c r="Q27" s="40">
        <f t="shared" si="5"/>
        <v>0.1832874129637917</v>
      </c>
      <c r="R27" s="106">
        <v>0</v>
      </c>
      <c r="S27" s="108">
        <v>5714613</v>
      </c>
      <c r="T27" s="108">
        <f t="shared" si="6"/>
        <v>5714613</v>
      </c>
      <c r="U27" s="40">
        <f t="shared" si="7"/>
        <v>0.03233085305423097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47620576</v>
      </c>
      <c r="AA27" s="79">
        <f t="shared" si="11"/>
        <v>30911278</v>
      </c>
      <c r="AB27" s="79">
        <f t="shared" si="12"/>
        <v>78531854</v>
      </c>
      <c r="AC27" s="40">
        <f t="shared" si="13"/>
        <v>0.44429987328106385</v>
      </c>
      <c r="AD27" s="78">
        <v>4227164</v>
      </c>
      <c r="AE27" s="79">
        <v>6621654</v>
      </c>
      <c r="AF27" s="79">
        <f t="shared" si="14"/>
        <v>10848818</v>
      </c>
      <c r="AG27" s="40">
        <f>IF(154981622=0,0,61080803/154981622)</f>
        <v>0.3941164262689159</v>
      </c>
      <c r="AH27" s="40">
        <f t="shared" si="15"/>
        <v>-0.47325017342903164</v>
      </c>
      <c r="AI27" s="12">
        <v>154981622</v>
      </c>
      <c r="AJ27" s="12">
        <v>154981622</v>
      </c>
      <c r="AK27" s="12">
        <v>61080803</v>
      </c>
      <c r="AL27" s="12"/>
    </row>
    <row r="28" spans="1:38" s="13" customFormat="1" ht="12.75">
      <c r="A28" s="29" t="s">
        <v>114</v>
      </c>
      <c r="B28" s="61" t="s">
        <v>583</v>
      </c>
      <c r="C28" s="39" t="s">
        <v>584</v>
      </c>
      <c r="D28" s="78">
        <v>613236000</v>
      </c>
      <c r="E28" s="79">
        <v>264864000</v>
      </c>
      <c r="F28" s="80">
        <f t="shared" si="0"/>
        <v>878100000</v>
      </c>
      <c r="G28" s="78">
        <v>613236000</v>
      </c>
      <c r="H28" s="79">
        <v>264864000</v>
      </c>
      <c r="I28" s="81">
        <f t="shared" si="1"/>
        <v>878100000</v>
      </c>
      <c r="J28" s="78">
        <v>48402502</v>
      </c>
      <c r="K28" s="79">
        <v>72888340</v>
      </c>
      <c r="L28" s="79">
        <f t="shared" si="2"/>
        <v>121290842</v>
      </c>
      <c r="M28" s="40">
        <f t="shared" si="3"/>
        <v>0.13812873476824963</v>
      </c>
      <c r="N28" s="106">
        <v>57736485</v>
      </c>
      <c r="O28" s="107">
        <v>71313846</v>
      </c>
      <c r="P28" s="108">
        <f t="shared" si="4"/>
        <v>129050331</v>
      </c>
      <c r="Q28" s="40">
        <f t="shared" si="5"/>
        <v>0.14696541510078578</v>
      </c>
      <c r="R28" s="106">
        <v>78484622</v>
      </c>
      <c r="S28" s="108">
        <v>47403631</v>
      </c>
      <c r="T28" s="108">
        <f t="shared" si="6"/>
        <v>125888253</v>
      </c>
      <c r="U28" s="40">
        <f t="shared" si="7"/>
        <v>0.14336436966176974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184623609</v>
      </c>
      <c r="AA28" s="79">
        <f t="shared" si="11"/>
        <v>191605817</v>
      </c>
      <c r="AB28" s="79">
        <f t="shared" si="12"/>
        <v>376229426</v>
      </c>
      <c r="AC28" s="40">
        <f t="shared" si="13"/>
        <v>0.42845851953080516</v>
      </c>
      <c r="AD28" s="78">
        <v>172915607</v>
      </c>
      <c r="AE28" s="79">
        <v>7231005</v>
      </c>
      <c r="AF28" s="79">
        <f t="shared" si="14"/>
        <v>180146612</v>
      </c>
      <c r="AG28" s="40">
        <f>IF(461700257=0,0,524393121/461700257)</f>
        <v>1.1357869376278038</v>
      </c>
      <c r="AH28" s="40">
        <f t="shared" si="15"/>
        <v>-0.30119000517200956</v>
      </c>
      <c r="AI28" s="12">
        <v>454679292</v>
      </c>
      <c r="AJ28" s="12">
        <v>461700257</v>
      </c>
      <c r="AK28" s="12">
        <v>524393121</v>
      </c>
      <c r="AL28" s="12"/>
    </row>
    <row r="29" spans="1:38" s="57" customFormat="1" ht="12.75">
      <c r="A29" s="62"/>
      <c r="B29" s="63" t="s">
        <v>585</v>
      </c>
      <c r="C29" s="32"/>
      <c r="D29" s="82">
        <f>SUM(D23:D28)</f>
        <v>1714702625</v>
      </c>
      <c r="E29" s="83">
        <f>SUM(E23:E28)</f>
        <v>486718938</v>
      </c>
      <c r="F29" s="91">
        <f t="shared" si="0"/>
        <v>2201421563</v>
      </c>
      <c r="G29" s="82">
        <f>SUM(G23:G28)</f>
        <v>1825775559</v>
      </c>
      <c r="H29" s="83">
        <f>SUM(H23:H28)</f>
        <v>491875331</v>
      </c>
      <c r="I29" s="84">
        <f t="shared" si="1"/>
        <v>2317650890</v>
      </c>
      <c r="J29" s="82">
        <f>SUM(J23:J28)</f>
        <v>275562291</v>
      </c>
      <c r="K29" s="83">
        <f>SUM(K23:K28)</f>
        <v>113693494</v>
      </c>
      <c r="L29" s="83">
        <f t="shared" si="2"/>
        <v>389255785</v>
      </c>
      <c r="M29" s="44">
        <f t="shared" si="3"/>
        <v>0.17682019270745192</v>
      </c>
      <c r="N29" s="112">
        <f>SUM(N23:N28)</f>
        <v>338013908</v>
      </c>
      <c r="O29" s="113">
        <f>SUM(O23:O28)</f>
        <v>109089206</v>
      </c>
      <c r="P29" s="114">
        <f t="shared" si="4"/>
        <v>447103114</v>
      </c>
      <c r="Q29" s="44">
        <f t="shared" si="5"/>
        <v>0.203097453715638</v>
      </c>
      <c r="R29" s="112">
        <f>SUM(R23:R28)</f>
        <v>250626756</v>
      </c>
      <c r="S29" s="114">
        <f>SUM(S23:S28)</f>
        <v>85883984</v>
      </c>
      <c r="T29" s="114">
        <f t="shared" si="6"/>
        <v>336510740</v>
      </c>
      <c r="U29" s="44">
        <f t="shared" si="7"/>
        <v>0.14519474932654763</v>
      </c>
      <c r="V29" s="112">
        <f>SUM(V23:V28)</f>
        <v>0</v>
      </c>
      <c r="W29" s="114">
        <f>SUM(W23:W28)</f>
        <v>0</v>
      </c>
      <c r="X29" s="114">
        <f t="shared" si="8"/>
        <v>0</v>
      </c>
      <c r="Y29" s="44">
        <f t="shared" si="9"/>
        <v>0</v>
      </c>
      <c r="Z29" s="82">
        <f t="shared" si="10"/>
        <v>864202955</v>
      </c>
      <c r="AA29" s="83">
        <f t="shared" si="11"/>
        <v>308666684</v>
      </c>
      <c r="AB29" s="83">
        <f t="shared" si="12"/>
        <v>1172869639</v>
      </c>
      <c r="AC29" s="44">
        <f t="shared" si="13"/>
        <v>0.5060596675973058</v>
      </c>
      <c r="AD29" s="82">
        <f>SUM(AD23:AD28)</f>
        <v>359359768</v>
      </c>
      <c r="AE29" s="83">
        <f>SUM(AE23:AE28)</f>
        <v>57026387</v>
      </c>
      <c r="AF29" s="83">
        <f t="shared" si="14"/>
        <v>416386155</v>
      </c>
      <c r="AG29" s="44">
        <f>IF(461700257=0,0,524393121/461700257)</f>
        <v>1.1357869376278038</v>
      </c>
      <c r="AH29" s="44">
        <f t="shared" si="15"/>
        <v>-0.19183014142244958</v>
      </c>
      <c r="AI29" s="64">
        <f>SUM(AI23:AI28)</f>
        <v>1688044868</v>
      </c>
      <c r="AJ29" s="64">
        <f>SUM(AJ23:AJ28)</f>
        <v>1776537595</v>
      </c>
      <c r="AK29" s="64">
        <f>SUM(AK23:AK28)</f>
        <v>1287409151</v>
      </c>
      <c r="AL29" s="64"/>
    </row>
    <row r="30" spans="1:38" s="13" customFormat="1" ht="12.75">
      <c r="A30" s="29" t="s">
        <v>95</v>
      </c>
      <c r="B30" s="61" t="s">
        <v>586</v>
      </c>
      <c r="C30" s="39" t="s">
        <v>587</v>
      </c>
      <c r="D30" s="78">
        <v>146170466</v>
      </c>
      <c r="E30" s="79">
        <v>26300000</v>
      </c>
      <c r="F30" s="81">
        <f t="shared" si="0"/>
        <v>172470466</v>
      </c>
      <c r="G30" s="78">
        <v>184265406</v>
      </c>
      <c r="H30" s="79">
        <v>44356313</v>
      </c>
      <c r="I30" s="81">
        <f t="shared" si="1"/>
        <v>228621719</v>
      </c>
      <c r="J30" s="78">
        <v>17233396</v>
      </c>
      <c r="K30" s="79">
        <v>1742550</v>
      </c>
      <c r="L30" s="79">
        <f t="shared" si="2"/>
        <v>18975946</v>
      </c>
      <c r="M30" s="40">
        <f t="shared" si="3"/>
        <v>0.11002432149745568</v>
      </c>
      <c r="N30" s="106">
        <v>23429548</v>
      </c>
      <c r="O30" s="107">
        <v>4149706</v>
      </c>
      <c r="P30" s="108">
        <f t="shared" si="4"/>
        <v>27579254</v>
      </c>
      <c r="Q30" s="40">
        <f t="shared" si="5"/>
        <v>0.15990711128478077</v>
      </c>
      <c r="R30" s="106">
        <v>43582355</v>
      </c>
      <c r="S30" s="108">
        <v>2958330</v>
      </c>
      <c r="T30" s="108">
        <f t="shared" si="6"/>
        <v>46540685</v>
      </c>
      <c r="U30" s="40">
        <f t="shared" si="7"/>
        <v>0.2035707071207876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84245299</v>
      </c>
      <c r="AA30" s="79">
        <f t="shared" si="11"/>
        <v>8850586</v>
      </c>
      <c r="AB30" s="79">
        <f t="shared" si="12"/>
        <v>93095885</v>
      </c>
      <c r="AC30" s="40">
        <f t="shared" si="13"/>
        <v>0.40720490339765136</v>
      </c>
      <c r="AD30" s="78">
        <v>36819726</v>
      </c>
      <c r="AE30" s="79">
        <v>3432102</v>
      </c>
      <c r="AF30" s="79">
        <f t="shared" si="14"/>
        <v>40251828</v>
      </c>
      <c r="AG30" s="40">
        <f>IF(171565250=0,0,102223529/171565250)</f>
        <v>0.5958288697740364</v>
      </c>
      <c r="AH30" s="40">
        <f t="shared" si="15"/>
        <v>0.15623779869078236</v>
      </c>
      <c r="AI30" s="12">
        <v>166402508</v>
      </c>
      <c r="AJ30" s="12">
        <v>171565250</v>
      </c>
      <c r="AK30" s="12">
        <v>102223529</v>
      </c>
      <c r="AL30" s="12"/>
    </row>
    <row r="31" spans="1:38" s="13" customFormat="1" ht="12.75">
      <c r="A31" s="29" t="s">
        <v>95</v>
      </c>
      <c r="B31" s="61" t="s">
        <v>89</v>
      </c>
      <c r="C31" s="39" t="s">
        <v>90</v>
      </c>
      <c r="D31" s="78">
        <v>1185132120</v>
      </c>
      <c r="E31" s="79">
        <v>224076728</v>
      </c>
      <c r="F31" s="80">
        <f t="shared" si="0"/>
        <v>1409208848</v>
      </c>
      <c r="G31" s="78">
        <v>1185132120</v>
      </c>
      <c r="H31" s="79">
        <v>224076728</v>
      </c>
      <c r="I31" s="81">
        <f t="shared" si="1"/>
        <v>1409208848</v>
      </c>
      <c r="J31" s="78">
        <v>274097148</v>
      </c>
      <c r="K31" s="79">
        <v>39953662</v>
      </c>
      <c r="L31" s="79">
        <f t="shared" si="2"/>
        <v>314050810</v>
      </c>
      <c r="M31" s="40">
        <f t="shared" si="3"/>
        <v>0.22285611564652907</v>
      </c>
      <c r="N31" s="106">
        <v>349357167</v>
      </c>
      <c r="O31" s="107">
        <v>61834987</v>
      </c>
      <c r="P31" s="108">
        <f t="shared" si="4"/>
        <v>411192154</v>
      </c>
      <c r="Q31" s="40">
        <f t="shared" si="5"/>
        <v>0.29178936435403363</v>
      </c>
      <c r="R31" s="106">
        <v>267230261</v>
      </c>
      <c r="S31" s="108">
        <v>36451763</v>
      </c>
      <c r="T31" s="108">
        <f t="shared" si="6"/>
        <v>303682024</v>
      </c>
      <c r="U31" s="40">
        <f t="shared" si="7"/>
        <v>0.2154982382001053</v>
      </c>
      <c r="V31" s="106">
        <v>0</v>
      </c>
      <c r="W31" s="108">
        <v>0</v>
      </c>
      <c r="X31" s="108">
        <f t="shared" si="8"/>
        <v>0</v>
      </c>
      <c r="Y31" s="40">
        <f t="shared" si="9"/>
        <v>0</v>
      </c>
      <c r="Z31" s="78">
        <f t="shared" si="10"/>
        <v>890684576</v>
      </c>
      <c r="AA31" s="79">
        <f t="shared" si="11"/>
        <v>138240412</v>
      </c>
      <c r="AB31" s="79">
        <f t="shared" si="12"/>
        <v>1028924988</v>
      </c>
      <c r="AC31" s="40">
        <f t="shared" si="13"/>
        <v>0.730143718200668</v>
      </c>
      <c r="AD31" s="78">
        <v>253256380</v>
      </c>
      <c r="AE31" s="79">
        <v>51190920</v>
      </c>
      <c r="AF31" s="79">
        <f t="shared" si="14"/>
        <v>304447300</v>
      </c>
      <c r="AG31" s="40">
        <f>IF(1448343636=0,0,980134290/1448343636)</f>
        <v>0.6767277223704389</v>
      </c>
      <c r="AH31" s="40">
        <f t="shared" si="15"/>
        <v>-0.0025136567149717237</v>
      </c>
      <c r="AI31" s="12">
        <v>1341136221</v>
      </c>
      <c r="AJ31" s="12">
        <v>1448343636</v>
      </c>
      <c r="AK31" s="12">
        <v>980134290</v>
      </c>
      <c r="AL31" s="12"/>
    </row>
    <row r="32" spans="1:38" s="13" customFormat="1" ht="12.75">
      <c r="A32" s="29" t="s">
        <v>95</v>
      </c>
      <c r="B32" s="61" t="s">
        <v>55</v>
      </c>
      <c r="C32" s="39" t="s">
        <v>56</v>
      </c>
      <c r="D32" s="78">
        <v>2743375472</v>
      </c>
      <c r="E32" s="79">
        <v>138927364</v>
      </c>
      <c r="F32" s="80">
        <f t="shared" si="0"/>
        <v>2882302836</v>
      </c>
      <c r="G32" s="78">
        <v>2714777772</v>
      </c>
      <c r="H32" s="79">
        <v>143005289</v>
      </c>
      <c r="I32" s="81">
        <f t="shared" si="1"/>
        <v>2857783061</v>
      </c>
      <c r="J32" s="78">
        <v>431575941</v>
      </c>
      <c r="K32" s="79">
        <v>5292158</v>
      </c>
      <c r="L32" s="79">
        <f t="shared" si="2"/>
        <v>436868099</v>
      </c>
      <c r="M32" s="40">
        <f t="shared" si="3"/>
        <v>0.15156911811746904</v>
      </c>
      <c r="N32" s="106">
        <v>878939264</v>
      </c>
      <c r="O32" s="107">
        <v>21557868</v>
      </c>
      <c r="P32" s="108">
        <f t="shared" si="4"/>
        <v>900497132</v>
      </c>
      <c r="Q32" s="40">
        <f t="shared" si="5"/>
        <v>0.31242280330601596</v>
      </c>
      <c r="R32" s="106">
        <v>680433238</v>
      </c>
      <c r="S32" s="108">
        <v>21661955</v>
      </c>
      <c r="T32" s="108">
        <f t="shared" si="6"/>
        <v>702095193</v>
      </c>
      <c r="U32" s="40">
        <f t="shared" si="7"/>
        <v>0.2456782680888037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1990948443</v>
      </c>
      <c r="AA32" s="79">
        <f t="shared" si="11"/>
        <v>48511981</v>
      </c>
      <c r="AB32" s="79">
        <f t="shared" si="12"/>
        <v>2039460424</v>
      </c>
      <c r="AC32" s="40">
        <f t="shared" si="13"/>
        <v>0.7136512396033129</v>
      </c>
      <c r="AD32" s="78">
        <v>625341307</v>
      </c>
      <c r="AE32" s="79">
        <v>23545976</v>
      </c>
      <c r="AF32" s="79">
        <f t="shared" si="14"/>
        <v>648887283</v>
      </c>
      <c r="AG32" s="40">
        <f>IF(2739190062=0,0,1772375544/2739190062)</f>
        <v>0.6470436530081132</v>
      </c>
      <c r="AH32" s="40">
        <f t="shared" si="15"/>
        <v>0.08199869437108376</v>
      </c>
      <c r="AI32" s="12">
        <v>2234741100</v>
      </c>
      <c r="AJ32" s="12">
        <v>2739190062</v>
      </c>
      <c r="AK32" s="12">
        <v>1772375544</v>
      </c>
      <c r="AL32" s="12"/>
    </row>
    <row r="33" spans="1:38" s="13" customFormat="1" ht="12.75">
      <c r="A33" s="29" t="s">
        <v>95</v>
      </c>
      <c r="B33" s="61" t="s">
        <v>588</v>
      </c>
      <c r="C33" s="39" t="s">
        <v>589</v>
      </c>
      <c r="D33" s="78">
        <v>343343441</v>
      </c>
      <c r="E33" s="79">
        <v>27235301</v>
      </c>
      <c r="F33" s="80">
        <f t="shared" si="0"/>
        <v>370578742</v>
      </c>
      <c r="G33" s="78">
        <v>343343441</v>
      </c>
      <c r="H33" s="79">
        <v>27235301</v>
      </c>
      <c r="I33" s="81">
        <f t="shared" si="1"/>
        <v>370578742</v>
      </c>
      <c r="J33" s="78">
        <v>38443928</v>
      </c>
      <c r="K33" s="79">
        <v>7913124</v>
      </c>
      <c r="L33" s="79">
        <f t="shared" si="2"/>
        <v>46357052</v>
      </c>
      <c r="M33" s="40">
        <f t="shared" si="3"/>
        <v>0.12509366228028265</v>
      </c>
      <c r="N33" s="106">
        <v>52743236</v>
      </c>
      <c r="O33" s="107">
        <v>13893639</v>
      </c>
      <c r="P33" s="108">
        <f t="shared" si="4"/>
        <v>66636875</v>
      </c>
      <c r="Q33" s="40">
        <f t="shared" si="5"/>
        <v>0.17981839605899466</v>
      </c>
      <c r="R33" s="106">
        <v>51547270</v>
      </c>
      <c r="S33" s="108">
        <v>2665047</v>
      </c>
      <c r="T33" s="108">
        <f t="shared" si="6"/>
        <v>54212317</v>
      </c>
      <c r="U33" s="40">
        <f t="shared" si="7"/>
        <v>0.146290952112952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142734434</v>
      </c>
      <c r="AA33" s="79">
        <f t="shared" si="11"/>
        <v>24471810</v>
      </c>
      <c r="AB33" s="79">
        <f t="shared" si="12"/>
        <v>167206244</v>
      </c>
      <c r="AC33" s="40">
        <f t="shared" si="13"/>
        <v>0.4512030104522293</v>
      </c>
      <c r="AD33" s="78">
        <v>61375125</v>
      </c>
      <c r="AE33" s="79">
        <v>18867517</v>
      </c>
      <c r="AF33" s="79">
        <f t="shared" si="14"/>
        <v>80242642</v>
      </c>
      <c r="AG33" s="40">
        <f>IF(334740029=0,0,203860243/334740029)</f>
        <v>0.609010651068564</v>
      </c>
      <c r="AH33" s="40">
        <f t="shared" si="15"/>
        <v>-0.32439516385813916</v>
      </c>
      <c r="AI33" s="12">
        <v>342214689</v>
      </c>
      <c r="AJ33" s="12">
        <v>334740029</v>
      </c>
      <c r="AK33" s="12">
        <v>203860243</v>
      </c>
      <c r="AL33" s="12"/>
    </row>
    <row r="34" spans="1:38" s="13" customFormat="1" ht="12.75">
      <c r="A34" s="29" t="s">
        <v>114</v>
      </c>
      <c r="B34" s="61" t="s">
        <v>590</v>
      </c>
      <c r="C34" s="39" t="s">
        <v>591</v>
      </c>
      <c r="D34" s="78">
        <v>319305716</v>
      </c>
      <c r="E34" s="79">
        <v>5572200</v>
      </c>
      <c r="F34" s="80">
        <f t="shared" si="0"/>
        <v>324877916</v>
      </c>
      <c r="G34" s="78">
        <v>274168931</v>
      </c>
      <c r="H34" s="79">
        <v>8617761</v>
      </c>
      <c r="I34" s="81">
        <f t="shared" si="1"/>
        <v>282786692</v>
      </c>
      <c r="J34" s="78">
        <v>60624047</v>
      </c>
      <c r="K34" s="79">
        <v>218978</v>
      </c>
      <c r="L34" s="79">
        <f t="shared" si="2"/>
        <v>60843025</v>
      </c>
      <c r="M34" s="40">
        <f t="shared" si="3"/>
        <v>0.18727965799928364</v>
      </c>
      <c r="N34" s="106">
        <v>70166831</v>
      </c>
      <c r="O34" s="107">
        <v>96604</v>
      </c>
      <c r="P34" s="108">
        <f t="shared" si="4"/>
        <v>70263435</v>
      </c>
      <c r="Q34" s="40">
        <f t="shared" si="5"/>
        <v>0.21627642735802333</v>
      </c>
      <c r="R34" s="106">
        <v>70404514</v>
      </c>
      <c r="S34" s="108">
        <v>1645117</v>
      </c>
      <c r="T34" s="108">
        <f t="shared" si="6"/>
        <v>72049631</v>
      </c>
      <c r="U34" s="40">
        <f t="shared" si="7"/>
        <v>0.2547843764868539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201195392</v>
      </c>
      <c r="AA34" s="79">
        <f t="shared" si="11"/>
        <v>1960699</v>
      </c>
      <c r="AB34" s="79">
        <f t="shared" si="12"/>
        <v>203156091</v>
      </c>
      <c r="AC34" s="40">
        <f t="shared" si="13"/>
        <v>0.7184075373674232</v>
      </c>
      <c r="AD34" s="78">
        <v>53756454</v>
      </c>
      <c r="AE34" s="79">
        <v>1267713</v>
      </c>
      <c r="AF34" s="79">
        <f t="shared" si="14"/>
        <v>55024167</v>
      </c>
      <c r="AG34" s="40">
        <f>IF(358035057=0,0,154210030/358035057)</f>
        <v>0.4307120964414387</v>
      </c>
      <c r="AH34" s="40">
        <f t="shared" si="15"/>
        <v>0.3094179326694759</v>
      </c>
      <c r="AI34" s="12">
        <v>336636056</v>
      </c>
      <c r="AJ34" s="12">
        <v>358035057</v>
      </c>
      <c r="AK34" s="12">
        <v>154210030</v>
      </c>
      <c r="AL34" s="12"/>
    </row>
    <row r="35" spans="1:38" s="57" customFormat="1" ht="12.75">
      <c r="A35" s="62"/>
      <c r="B35" s="63" t="s">
        <v>592</v>
      </c>
      <c r="C35" s="32"/>
      <c r="D35" s="82">
        <f>SUM(D30:D34)</f>
        <v>4737327215</v>
      </c>
      <c r="E35" s="83">
        <f>SUM(E30:E34)</f>
        <v>422111593</v>
      </c>
      <c r="F35" s="91">
        <f t="shared" si="0"/>
        <v>5159438808</v>
      </c>
      <c r="G35" s="82">
        <f>SUM(G30:G34)</f>
        <v>4701687670</v>
      </c>
      <c r="H35" s="83">
        <f>SUM(H30:H34)</f>
        <v>447291392</v>
      </c>
      <c r="I35" s="84">
        <f t="shared" si="1"/>
        <v>5148979062</v>
      </c>
      <c r="J35" s="82">
        <f>SUM(J30:J34)</f>
        <v>821974460</v>
      </c>
      <c r="K35" s="83">
        <f>SUM(K30:K34)</f>
        <v>55120472</v>
      </c>
      <c r="L35" s="83">
        <f t="shared" si="2"/>
        <v>877094932</v>
      </c>
      <c r="M35" s="44">
        <f t="shared" si="3"/>
        <v>0.16999812666447656</v>
      </c>
      <c r="N35" s="112">
        <f>SUM(N30:N34)</f>
        <v>1374636046</v>
      </c>
      <c r="O35" s="113">
        <f>SUM(O30:O34)</f>
        <v>101532804</v>
      </c>
      <c r="P35" s="114">
        <f t="shared" si="4"/>
        <v>1476168850</v>
      </c>
      <c r="Q35" s="44">
        <f t="shared" si="5"/>
        <v>0.2861103513256359</v>
      </c>
      <c r="R35" s="112">
        <f>SUM(R30:R34)</f>
        <v>1113197638</v>
      </c>
      <c r="S35" s="114">
        <f>SUM(S30:S34)</f>
        <v>65382212</v>
      </c>
      <c r="T35" s="114">
        <f t="shared" si="6"/>
        <v>1178579850</v>
      </c>
      <c r="U35" s="44">
        <f t="shared" si="7"/>
        <v>0.22889583270944752</v>
      </c>
      <c r="V35" s="112">
        <f>SUM(V30:V34)</f>
        <v>0</v>
      </c>
      <c r="W35" s="114">
        <f>SUM(W30:W34)</f>
        <v>0</v>
      </c>
      <c r="X35" s="114">
        <f t="shared" si="8"/>
        <v>0</v>
      </c>
      <c r="Y35" s="44">
        <f t="shared" si="9"/>
        <v>0</v>
      </c>
      <c r="Z35" s="82">
        <f t="shared" si="10"/>
        <v>3309808144</v>
      </c>
      <c r="AA35" s="83">
        <f t="shared" si="11"/>
        <v>222035488</v>
      </c>
      <c r="AB35" s="83">
        <f t="shared" si="12"/>
        <v>3531843632</v>
      </c>
      <c r="AC35" s="44">
        <f t="shared" si="13"/>
        <v>0.6859308591999087</v>
      </c>
      <c r="AD35" s="82">
        <f>SUM(AD30:AD34)</f>
        <v>1030548992</v>
      </c>
      <c r="AE35" s="83">
        <f>SUM(AE30:AE34)</f>
        <v>98304228</v>
      </c>
      <c r="AF35" s="83">
        <f t="shared" si="14"/>
        <v>1128853220</v>
      </c>
      <c r="AG35" s="44">
        <f>IF(358035057=0,0,154210030/358035057)</f>
        <v>0.4307120964414387</v>
      </c>
      <c r="AH35" s="44">
        <f t="shared" si="15"/>
        <v>0.04405057196009943</v>
      </c>
      <c r="AI35" s="64">
        <f>SUM(AI30:AI34)</f>
        <v>4421130574</v>
      </c>
      <c r="AJ35" s="64">
        <f>SUM(AJ30:AJ34)</f>
        <v>5051874034</v>
      </c>
      <c r="AK35" s="64">
        <f>SUM(AK30:AK34)</f>
        <v>3212803636</v>
      </c>
      <c r="AL35" s="64"/>
    </row>
    <row r="36" spans="1:38" s="57" customFormat="1" ht="12.75">
      <c r="A36" s="62"/>
      <c r="B36" s="63" t="s">
        <v>593</v>
      </c>
      <c r="C36" s="32"/>
      <c r="D36" s="82">
        <f>SUM(D9:D14,D16:D21,D23:D28,D30:D34)</f>
        <v>14904683075</v>
      </c>
      <c r="E36" s="83">
        <f>SUM(E9:E14,E16:E21,E23:E28,E30:E34)</f>
        <v>3116767033</v>
      </c>
      <c r="F36" s="84">
        <f t="shared" si="0"/>
        <v>18021450108</v>
      </c>
      <c r="G36" s="82">
        <f>SUM(G9:G14,G16:G21,G23:G28,G30:G34)</f>
        <v>15172731837</v>
      </c>
      <c r="H36" s="83">
        <f>SUM(H9:H14,H16:H21,H23:H28,H30:H34)</f>
        <v>3222234258</v>
      </c>
      <c r="I36" s="91">
        <f t="shared" si="1"/>
        <v>18394966095</v>
      </c>
      <c r="J36" s="82">
        <f>SUM(J9:J14,J16:J21,J23:J28,J30:J34)</f>
        <v>3090474902</v>
      </c>
      <c r="K36" s="93">
        <f>SUM(K9:K14,K16:K21,K23:K28,K30:K34)</f>
        <v>433634872</v>
      </c>
      <c r="L36" s="83">
        <f t="shared" si="2"/>
        <v>3524109774</v>
      </c>
      <c r="M36" s="44">
        <f t="shared" si="3"/>
        <v>0.19555084373790727</v>
      </c>
      <c r="N36" s="112">
        <f>SUM(N9:N14,N16:N21,N23:N28,N30:N34)</f>
        <v>3745080378</v>
      </c>
      <c r="O36" s="113">
        <f>SUM(O9:O14,O16:O21,O23:O28,O30:O34)</f>
        <v>630118997</v>
      </c>
      <c r="P36" s="114">
        <f t="shared" si="4"/>
        <v>4375199375</v>
      </c>
      <c r="Q36" s="44">
        <f t="shared" si="5"/>
        <v>0.24277732084710438</v>
      </c>
      <c r="R36" s="112">
        <f>SUM(R9:R14,R16:R21,R23:R28,R30:R34)</f>
        <v>2975182896</v>
      </c>
      <c r="S36" s="114">
        <f>SUM(S9:S14,S16:S21,S23:S28,S30:S34)</f>
        <v>570407589</v>
      </c>
      <c r="T36" s="114">
        <f t="shared" si="6"/>
        <v>3545590485</v>
      </c>
      <c r="U36" s="44">
        <f t="shared" si="7"/>
        <v>0.19274786736158972</v>
      </c>
      <c r="V36" s="112">
        <f>SUM(V9:V14,V16:V21,V23:V28,V30:V34)</f>
        <v>0</v>
      </c>
      <c r="W36" s="114">
        <f>SUM(W9:W14,W16:W21,W23:W28,W30:W34)</f>
        <v>0</v>
      </c>
      <c r="X36" s="114">
        <f t="shared" si="8"/>
        <v>0</v>
      </c>
      <c r="Y36" s="44">
        <f t="shared" si="9"/>
        <v>0</v>
      </c>
      <c r="Z36" s="82">
        <f t="shared" si="10"/>
        <v>9810738176</v>
      </c>
      <c r="AA36" s="83">
        <f t="shared" si="11"/>
        <v>1634161458</v>
      </c>
      <c r="AB36" s="83">
        <f t="shared" si="12"/>
        <v>11444899634</v>
      </c>
      <c r="AC36" s="44">
        <f t="shared" si="13"/>
        <v>0.6221756308162415</v>
      </c>
      <c r="AD36" s="82">
        <f>SUM(AD9:AD14,AD16:AD21,AD23:AD28,AD30:AD34)</f>
        <v>3043579860</v>
      </c>
      <c r="AE36" s="83">
        <f>SUM(AE9:AE14,AE16:AE21,AE23:AE28,AE30:AE34)</f>
        <v>521486853</v>
      </c>
      <c r="AF36" s="83">
        <f t="shared" si="14"/>
        <v>3565066713</v>
      </c>
      <c r="AG36" s="44">
        <f>IF(358035057=0,0,154210030/358035057)</f>
        <v>0.4307120964414387</v>
      </c>
      <c r="AH36" s="44">
        <f t="shared" si="15"/>
        <v>-0.00546307532730872</v>
      </c>
      <c r="AI36" s="64">
        <f>SUM(AI9:AI14,AI16:AI21,AI23:AI28,AI30:AI34)</f>
        <v>16414061876</v>
      </c>
      <c r="AJ36" s="64">
        <f>SUM(AJ9:AJ14,AJ16:AJ21,AJ23:AJ28,AJ30:AJ34)</f>
        <v>17308935100</v>
      </c>
      <c r="AK36" s="64">
        <f>SUM(AK9:AK14,AK16:AK21,AK23:AK28,AK30:AK34)</f>
        <v>10793568275</v>
      </c>
      <c r="AL36" s="64"/>
    </row>
    <row r="37" spans="1:38" s="13" customFormat="1" ht="12.75">
      <c r="A37" s="65"/>
      <c r="B37" s="66"/>
      <c r="C37" s="67"/>
      <c r="D37" s="94"/>
      <c r="E37" s="94"/>
      <c r="F37" s="95"/>
      <c r="G37" s="96"/>
      <c r="H37" s="94"/>
      <c r="I37" s="97"/>
      <c r="J37" s="96"/>
      <c r="K37" s="98"/>
      <c r="L37" s="94"/>
      <c r="M37" s="71"/>
      <c r="N37" s="96"/>
      <c r="O37" s="98"/>
      <c r="P37" s="94"/>
      <c r="Q37" s="71"/>
      <c r="R37" s="96"/>
      <c r="S37" s="98"/>
      <c r="T37" s="94"/>
      <c r="U37" s="71"/>
      <c r="V37" s="96"/>
      <c r="W37" s="98"/>
      <c r="X37" s="94"/>
      <c r="Y37" s="71"/>
      <c r="Z37" s="96"/>
      <c r="AA37" s="98"/>
      <c r="AB37" s="94"/>
      <c r="AC37" s="71"/>
      <c r="AD37" s="96"/>
      <c r="AE37" s="94"/>
      <c r="AF37" s="94"/>
      <c r="AG37" s="71"/>
      <c r="AH37" s="71"/>
      <c r="AI37" s="12"/>
      <c r="AJ37" s="12"/>
      <c r="AK37" s="12"/>
      <c r="AL37" s="12"/>
    </row>
    <row r="38" spans="1:38" s="13" customFormat="1" ht="12.75">
      <c r="A38" s="12"/>
      <c r="B38" s="58"/>
      <c r="C38" s="12"/>
      <c r="D38" s="89"/>
      <c r="E38" s="89"/>
      <c r="F38" s="89"/>
      <c r="G38" s="89"/>
      <c r="H38" s="89"/>
      <c r="I38" s="89"/>
      <c r="J38" s="89"/>
      <c r="K38" s="89"/>
      <c r="L38" s="89"/>
      <c r="M38" s="12"/>
      <c r="N38" s="89"/>
      <c r="O38" s="89"/>
      <c r="P38" s="89"/>
      <c r="Q38" s="12"/>
      <c r="R38" s="89"/>
      <c r="S38" s="89"/>
      <c r="T38" s="89"/>
      <c r="U38" s="12"/>
      <c r="V38" s="89"/>
      <c r="W38" s="89"/>
      <c r="X38" s="89"/>
      <c r="Y38" s="12"/>
      <c r="Z38" s="89"/>
      <c r="AA38" s="89"/>
      <c r="AB38" s="89"/>
      <c r="AC38" s="12"/>
      <c r="AD38" s="89"/>
      <c r="AE38" s="89"/>
      <c r="AF38" s="89"/>
      <c r="AG38" s="12"/>
      <c r="AH38" s="12"/>
      <c r="AI38" s="12"/>
      <c r="AJ38" s="12"/>
      <c r="AK38" s="12"/>
      <c r="AL38" s="12"/>
    </row>
    <row r="39" spans="1:38" ht="12.75">
      <c r="A39" s="2"/>
      <c r="B39" s="2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36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93</v>
      </c>
      <c r="B9" s="61" t="s">
        <v>41</v>
      </c>
      <c r="C9" s="39" t="s">
        <v>42</v>
      </c>
      <c r="D9" s="78">
        <v>31849421674</v>
      </c>
      <c r="E9" s="79">
        <v>5780819331</v>
      </c>
      <c r="F9" s="80">
        <f>$D9+$E9</f>
        <v>37630241005</v>
      </c>
      <c r="G9" s="78">
        <v>32340171597</v>
      </c>
      <c r="H9" s="79">
        <v>6129094186</v>
      </c>
      <c r="I9" s="81">
        <f>$G9+$H9</f>
        <v>38469265783</v>
      </c>
      <c r="J9" s="78">
        <v>6770067413</v>
      </c>
      <c r="K9" s="79">
        <v>735280315</v>
      </c>
      <c r="L9" s="79">
        <f>$J9+$K9</f>
        <v>7505347728</v>
      </c>
      <c r="M9" s="40">
        <f>IF($F9=0,0,$L9/$F9)</f>
        <v>0.19944989794252846</v>
      </c>
      <c r="N9" s="106">
        <v>7562157612</v>
      </c>
      <c r="O9" s="107">
        <v>1156924792</v>
      </c>
      <c r="P9" s="108">
        <f>$N9+$O9</f>
        <v>8719082404</v>
      </c>
      <c r="Q9" s="40">
        <f>IF($F9=0,0,$P9/$F9)</f>
        <v>0.231704133992697</v>
      </c>
      <c r="R9" s="106">
        <v>6758239108</v>
      </c>
      <c r="S9" s="108">
        <v>855087705</v>
      </c>
      <c r="T9" s="108">
        <f>$R9+$S9</f>
        <v>7613326813</v>
      </c>
      <c r="U9" s="40">
        <f>IF($I9=0,0,$T9/$I9)</f>
        <v>0.197906735624895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21090464133</v>
      </c>
      <c r="AA9" s="79">
        <f>$K9+$O9+$S9</f>
        <v>2747292812</v>
      </c>
      <c r="AB9" s="79">
        <f>$Z9+$AA9</f>
        <v>23837756945</v>
      </c>
      <c r="AC9" s="40">
        <f>IF($I9=0,0,$AB9/$I9)</f>
        <v>0.6196571850231197</v>
      </c>
      <c r="AD9" s="78">
        <v>6169957880</v>
      </c>
      <c r="AE9" s="79">
        <v>734326786</v>
      </c>
      <c r="AF9" s="79">
        <f>$AD9+$AE9</f>
        <v>6904284666</v>
      </c>
      <c r="AG9" s="40">
        <f>IF(35240910684=0,0,21593003916/35240910684)</f>
        <v>0.6127254800428188</v>
      </c>
      <c r="AH9" s="40">
        <f>IF($AF9=0,0,(($T9/$AF9)-1))</f>
        <v>0.10269596074038811</v>
      </c>
      <c r="AI9" s="12">
        <v>34649526466</v>
      </c>
      <c r="AJ9" s="12">
        <v>35240910684</v>
      </c>
      <c r="AK9" s="12">
        <v>21593003916</v>
      </c>
      <c r="AL9" s="12"/>
    </row>
    <row r="10" spans="1:38" s="57" customFormat="1" ht="12.75">
      <c r="A10" s="62"/>
      <c r="B10" s="63" t="s">
        <v>94</v>
      </c>
      <c r="C10" s="32"/>
      <c r="D10" s="82">
        <f>D9</f>
        <v>31849421674</v>
      </c>
      <c r="E10" s="83">
        <f>E9</f>
        <v>5780819331</v>
      </c>
      <c r="F10" s="84">
        <f aca="true" t="shared" si="0" ref="F10:F45">$D10+$E10</f>
        <v>37630241005</v>
      </c>
      <c r="G10" s="82">
        <f>G9</f>
        <v>32340171597</v>
      </c>
      <c r="H10" s="83">
        <f>H9</f>
        <v>6129094186</v>
      </c>
      <c r="I10" s="84">
        <f aca="true" t="shared" si="1" ref="I10:I45">$G10+$H10</f>
        <v>38469265783</v>
      </c>
      <c r="J10" s="82">
        <f>J9</f>
        <v>6770067413</v>
      </c>
      <c r="K10" s="83">
        <f>K9</f>
        <v>735280315</v>
      </c>
      <c r="L10" s="83">
        <f aca="true" t="shared" si="2" ref="L10:L45">$J10+$K10</f>
        <v>7505347728</v>
      </c>
      <c r="M10" s="44">
        <f aca="true" t="shared" si="3" ref="M10:M45">IF($F10=0,0,$L10/$F10)</f>
        <v>0.19944989794252846</v>
      </c>
      <c r="N10" s="112">
        <f>N9</f>
        <v>7562157612</v>
      </c>
      <c r="O10" s="113">
        <f>O9</f>
        <v>1156924792</v>
      </c>
      <c r="P10" s="114">
        <f aca="true" t="shared" si="4" ref="P10:P45">$N10+$O10</f>
        <v>8719082404</v>
      </c>
      <c r="Q10" s="44">
        <f aca="true" t="shared" si="5" ref="Q10:Q45">IF($F10=0,0,$P10/$F10)</f>
        <v>0.231704133992697</v>
      </c>
      <c r="R10" s="112">
        <f>R9</f>
        <v>6758239108</v>
      </c>
      <c r="S10" s="114">
        <f>S9</f>
        <v>855087705</v>
      </c>
      <c r="T10" s="114">
        <f aca="true" t="shared" si="6" ref="T10:T45">$R10+$S10</f>
        <v>7613326813</v>
      </c>
      <c r="U10" s="44">
        <f aca="true" t="shared" si="7" ref="U10:U45">IF($I10=0,0,$T10/$I10)</f>
        <v>0.197906735624895</v>
      </c>
      <c r="V10" s="112">
        <f>V9</f>
        <v>0</v>
      </c>
      <c r="W10" s="114">
        <f>W9</f>
        <v>0</v>
      </c>
      <c r="X10" s="114">
        <f aca="true" t="shared" si="8" ref="X10:X45">$V10+$W10</f>
        <v>0</v>
      </c>
      <c r="Y10" s="44">
        <f aca="true" t="shared" si="9" ref="Y10:Y45">IF($I10=0,0,$X10/$I10)</f>
        <v>0</v>
      </c>
      <c r="Z10" s="82">
        <f aca="true" t="shared" si="10" ref="Z10:Z45">$J10+$N10+$R10</f>
        <v>21090464133</v>
      </c>
      <c r="AA10" s="83">
        <f aca="true" t="shared" si="11" ref="AA10:AA45">$K10+$O10+$S10</f>
        <v>2747292812</v>
      </c>
      <c r="AB10" s="83">
        <f aca="true" t="shared" si="12" ref="AB10:AB45">$Z10+$AA10</f>
        <v>23837756945</v>
      </c>
      <c r="AC10" s="44">
        <f aca="true" t="shared" si="13" ref="AC10:AC45">IF($I10=0,0,$AB10/$I10)</f>
        <v>0.6196571850231197</v>
      </c>
      <c r="AD10" s="82">
        <f>AD9</f>
        <v>6169957880</v>
      </c>
      <c r="AE10" s="83">
        <f>AE9</f>
        <v>734326786</v>
      </c>
      <c r="AF10" s="83">
        <f aca="true" t="shared" si="14" ref="AF10:AF45">$AD10+$AE10</f>
        <v>6904284666</v>
      </c>
      <c r="AG10" s="44">
        <f>IF(35240910684=0,0,21593003916/35240910684)</f>
        <v>0.6127254800428188</v>
      </c>
      <c r="AH10" s="44">
        <f aca="true" t="shared" si="15" ref="AH10:AH45">IF($AF10=0,0,(($T10/$AF10)-1))</f>
        <v>0.10269596074038811</v>
      </c>
      <c r="AI10" s="64">
        <f>AI9</f>
        <v>34649526466</v>
      </c>
      <c r="AJ10" s="64">
        <f>AJ9</f>
        <v>35240910684</v>
      </c>
      <c r="AK10" s="64">
        <f>AK9</f>
        <v>21593003916</v>
      </c>
      <c r="AL10" s="64"/>
    </row>
    <row r="11" spans="1:38" s="13" customFormat="1" ht="12.75">
      <c r="A11" s="29" t="s">
        <v>95</v>
      </c>
      <c r="B11" s="61" t="s">
        <v>594</v>
      </c>
      <c r="C11" s="39" t="s">
        <v>595</v>
      </c>
      <c r="D11" s="78">
        <v>248333922</v>
      </c>
      <c r="E11" s="79">
        <v>29770000</v>
      </c>
      <c r="F11" s="80">
        <f t="shared" si="0"/>
        <v>278103922</v>
      </c>
      <c r="G11" s="78">
        <v>261265398</v>
      </c>
      <c r="H11" s="79">
        <v>30477847</v>
      </c>
      <c r="I11" s="81">
        <f t="shared" si="1"/>
        <v>291743245</v>
      </c>
      <c r="J11" s="78">
        <v>50238239</v>
      </c>
      <c r="K11" s="79">
        <v>2683705</v>
      </c>
      <c r="L11" s="79">
        <f t="shared" si="2"/>
        <v>52921944</v>
      </c>
      <c r="M11" s="40">
        <f t="shared" si="3"/>
        <v>0.190295568719092</v>
      </c>
      <c r="N11" s="106">
        <v>52603935</v>
      </c>
      <c r="O11" s="107">
        <v>4598721</v>
      </c>
      <c r="P11" s="108">
        <f t="shared" si="4"/>
        <v>57202656</v>
      </c>
      <c r="Q11" s="40">
        <f t="shared" si="5"/>
        <v>0.2056880593003647</v>
      </c>
      <c r="R11" s="106">
        <v>56157300</v>
      </c>
      <c r="S11" s="108">
        <v>4710842</v>
      </c>
      <c r="T11" s="108">
        <f t="shared" si="6"/>
        <v>60868142</v>
      </c>
      <c r="U11" s="40">
        <f t="shared" si="7"/>
        <v>0.20863599429697163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158999474</v>
      </c>
      <c r="AA11" s="79">
        <f t="shared" si="11"/>
        <v>11993268</v>
      </c>
      <c r="AB11" s="79">
        <f t="shared" si="12"/>
        <v>170992742</v>
      </c>
      <c r="AC11" s="40">
        <f t="shared" si="13"/>
        <v>0.5861069448240352</v>
      </c>
      <c r="AD11" s="78">
        <v>47173436</v>
      </c>
      <c r="AE11" s="79">
        <v>9463905</v>
      </c>
      <c r="AF11" s="79">
        <f t="shared" si="14"/>
        <v>56637341</v>
      </c>
      <c r="AG11" s="40">
        <f>IF(274961967=0,0,161608885/274961967)</f>
        <v>0.5877499596153238</v>
      </c>
      <c r="AH11" s="40">
        <f t="shared" si="15"/>
        <v>0.07469985216996688</v>
      </c>
      <c r="AI11" s="12">
        <v>254437025</v>
      </c>
      <c r="AJ11" s="12">
        <v>274961967</v>
      </c>
      <c r="AK11" s="12">
        <v>161608885</v>
      </c>
      <c r="AL11" s="12"/>
    </row>
    <row r="12" spans="1:38" s="13" customFormat="1" ht="12.75">
      <c r="A12" s="29" t="s">
        <v>95</v>
      </c>
      <c r="B12" s="61" t="s">
        <v>596</v>
      </c>
      <c r="C12" s="39" t="s">
        <v>597</v>
      </c>
      <c r="D12" s="78">
        <v>221469373</v>
      </c>
      <c r="E12" s="79">
        <v>70581000</v>
      </c>
      <c r="F12" s="80">
        <f t="shared" si="0"/>
        <v>292050373</v>
      </c>
      <c r="G12" s="78">
        <v>242691000</v>
      </c>
      <c r="H12" s="79">
        <v>50574000</v>
      </c>
      <c r="I12" s="81">
        <f t="shared" si="1"/>
        <v>293265000</v>
      </c>
      <c r="J12" s="78">
        <v>63489511</v>
      </c>
      <c r="K12" s="79">
        <v>10583101</v>
      </c>
      <c r="L12" s="79">
        <f t="shared" si="2"/>
        <v>74072612</v>
      </c>
      <c r="M12" s="40">
        <f t="shared" si="3"/>
        <v>0.2536295750596422</v>
      </c>
      <c r="N12" s="106">
        <v>66558507</v>
      </c>
      <c r="O12" s="107">
        <v>9585704</v>
      </c>
      <c r="P12" s="108">
        <f t="shared" si="4"/>
        <v>76144211</v>
      </c>
      <c r="Q12" s="40">
        <f t="shared" si="5"/>
        <v>0.26072286851693216</v>
      </c>
      <c r="R12" s="106">
        <v>48686625</v>
      </c>
      <c r="S12" s="108">
        <v>11533743</v>
      </c>
      <c r="T12" s="108">
        <f t="shared" si="6"/>
        <v>60220368</v>
      </c>
      <c r="U12" s="40">
        <f t="shared" si="7"/>
        <v>0.20534454503605953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178734643</v>
      </c>
      <c r="AA12" s="79">
        <f t="shared" si="11"/>
        <v>31702548</v>
      </c>
      <c r="AB12" s="79">
        <f t="shared" si="12"/>
        <v>210437191</v>
      </c>
      <c r="AC12" s="40">
        <f t="shared" si="13"/>
        <v>0.7175666751913798</v>
      </c>
      <c r="AD12" s="78">
        <v>67477697</v>
      </c>
      <c r="AE12" s="79">
        <v>4997645</v>
      </c>
      <c r="AF12" s="79">
        <f t="shared" si="14"/>
        <v>72475342</v>
      </c>
      <c r="AG12" s="40">
        <f>IF(282447479=0,0,167651488/282447479)</f>
        <v>0.593566947715614</v>
      </c>
      <c r="AH12" s="40">
        <f t="shared" si="15"/>
        <v>-0.16909163395186189</v>
      </c>
      <c r="AI12" s="12">
        <v>237584781</v>
      </c>
      <c r="AJ12" s="12">
        <v>282447479</v>
      </c>
      <c r="AK12" s="12">
        <v>167651488</v>
      </c>
      <c r="AL12" s="12"/>
    </row>
    <row r="13" spans="1:38" s="13" customFormat="1" ht="12.75">
      <c r="A13" s="29" t="s">
        <v>95</v>
      </c>
      <c r="B13" s="61" t="s">
        <v>598</v>
      </c>
      <c r="C13" s="39" t="s">
        <v>599</v>
      </c>
      <c r="D13" s="78">
        <v>258226310</v>
      </c>
      <c r="E13" s="79">
        <v>69200050</v>
      </c>
      <c r="F13" s="80">
        <f t="shared" si="0"/>
        <v>327426360</v>
      </c>
      <c r="G13" s="78">
        <v>290483304</v>
      </c>
      <c r="H13" s="79">
        <v>44923798</v>
      </c>
      <c r="I13" s="81">
        <f t="shared" si="1"/>
        <v>335407102</v>
      </c>
      <c r="J13" s="78">
        <v>56094516</v>
      </c>
      <c r="K13" s="79">
        <v>332557</v>
      </c>
      <c r="L13" s="79">
        <f t="shared" si="2"/>
        <v>56427073</v>
      </c>
      <c r="M13" s="40">
        <f t="shared" si="3"/>
        <v>0.17233515652191228</v>
      </c>
      <c r="N13" s="106">
        <v>70454270</v>
      </c>
      <c r="O13" s="107">
        <v>21973177</v>
      </c>
      <c r="P13" s="108">
        <f t="shared" si="4"/>
        <v>92427447</v>
      </c>
      <c r="Q13" s="40">
        <f t="shared" si="5"/>
        <v>0.2822846853258852</v>
      </c>
      <c r="R13" s="106">
        <v>58673787</v>
      </c>
      <c r="S13" s="108">
        <v>9260662</v>
      </c>
      <c r="T13" s="108">
        <f t="shared" si="6"/>
        <v>67934449</v>
      </c>
      <c r="U13" s="40">
        <f t="shared" si="7"/>
        <v>0.20254326338027273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185222573</v>
      </c>
      <c r="AA13" s="79">
        <f t="shared" si="11"/>
        <v>31566396</v>
      </c>
      <c r="AB13" s="79">
        <f t="shared" si="12"/>
        <v>216788969</v>
      </c>
      <c r="AC13" s="40">
        <f t="shared" si="13"/>
        <v>0.6463457920458703</v>
      </c>
      <c r="AD13" s="78">
        <v>48923793</v>
      </c>
      <c r="AE13" s="79">
        <v>1650522</v>
      </c>
      <c r="AF13" s="79">
        <f t="shared" si="14"/>
        <v>50574315</v>
      </c>
      <c r="AG13" s="40">
        <f>IF(268912210=0,0,170741782/268912210)</f>
        <v>0.634935029539938</v>
      </c>
      <c r="AH13" s="40">
        <f t="shared" si="15"/>
        <v>0.3432598938809157</v>
      </c>
      <c r="AI13" s="12">
        <v>281204875</v>
      </c>
      <c r="AJ13" s="12">
        <v>268912210</v>
      </c>
      <c r="AK13" s="12">
        <v>170741782</v>
      </c>
      <c r="AL13" s="12"/>
    </row>
    <row r="14" spans="1:38" s="13" customFormat="1" ht="12.75">
      <c r="A14" s="29" t="s">
        <v>95</v>
      </c>
      <c r="B14" s="61" t="s">
        <v>600</v>
      </c>
      <c r="C14" s="39" t="s">
        <v>601</v>
      </c>
      <c r="D14" s="78">
        <v>927015891</v>
      </c>
      <c r="E14" s="79">
        <v>199536675</v>
      </c>
      <c r="F14" s="80">
        <f t="shared" si="0"/>
        <v>1126552566</v>
      </c>
      <c r="G14" s="78">
        <v>937064768</v>
      </c>
      <c r="H14" s="79">
        <v>215809476</v>
      </c>
      <c r="I14" s="81">
        <f t="shared" si="1"/>
        <v>1152874244</v>
      </c>
      <c r="J14" s="78">
        <v>179632940</v>
      </c>
      <c r="K14" s="79">
        <v>20661355</v>
      </c>
      <c r="L14" s="79">
        <f t="shared" si="2"/>
        <v>200294295</v>
      </c>
      <c r="M14" s="40">
        <f t="shared" si="3"/>
        <v>0.17779400717285304</v>
      </c>
      <c r="N14" s="106">
        <v>202045314</v>
      </c>
      <c r="O14" s="107">
        <v>22908345</v>
      </c>
      <c r="P14" s="108">
        <f t="shared" si="4"/>
        <v>224953659</v>
      </c>
      <c r="Q14" s="40">
        <f t="shared" si="5"/>
        <v>0.19968323342312638</v>
      </c>
      <c r="R14" s="106">
        <v>197950757</v>
      </c>
      <c r="S14" s="108">
        <v>52362777</v>
      </c>
      <c r="T14" s="108">
        <f t="shared" si="6"/>
        <v>250313534</v>
      </c>
      <c r="U14" s="40">
        <f t="shared" si="7"/>
        <v>0.21712128213699602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579629011</v>
      </c>
      <c r="AA14" s="79">
        <f t="shared" si="11"/>
        <v>95932477</v>
      </c>
      <c r="AB14" s="79">
        <f t="shared" si="12"/>
        <v>675561488</v>
      </c>
      <c r="AC14" s="40">
        <f t="shared" si="13"/>
        <v>0.5859802068750181</v>
      </c>
      <c r="AD14" s="78">
        <v>170433137</v>
      </c>
      <c r="AE14" s="79">
        <v>29108806</v>
      </c>
      <c r="AF14" s="79">
        <f t="shared" si="14"/>
        <v>199541943</v>
      </c>
      <c r="AG14" s="40">
        <f>IF(1055857213=0,0,623790925/1055857213)</f>
        <v>0.5907909870006258</v>
      </c>
      <c r="AH14" s="40">
        <f t="shared" si="15"/>
        <v>0.25444069671106684</v>
      </c>
      <c r="AI14" s="12">
        <v>1040763571</v>
      </c>
      <c r="AJ14" s="12">
        <v>1055857213</v>
      </c>
      <c r="AK14" s="12">
        <v>623790925</v>
      </c>
      <c r="AL14" s="12"/>
    </row>
    <row r="15" spans="1:38" s="13" customFormat="1" ht="12.75">
      <c r="A15" s="29" t="s">
        <v>95</v>
      </c>
      <c r="B15" s="61" t="s">
        <v>602</v>
      </c>
      <c r="C15" s="39" t="s">
        <v>603</v>
      </c>
      <c r="D15" s="78">
        <v>565107633</v>
      </c>
      <c r="E15" s="79">
        <v>92885408</v>
      </c>
      <c r="F15" s="80">
        <f t="shared" si="0"/>
        <v>657993041</v>
      </c>
      <c r="G15" s="78">
        <v>593012159</v>
      </c>
      <c r="H15" s="79">
        <v>83701437</v>
      </c>
      <c r="I15" s="81">
        <f t="shared" si="1"/>
        <v>676713596</v>
      </c>
      <c r="J15" s="78">
        <v>114517653</v>
      </c>
      <c r="K15" s="79">
        <v>5793247</v>
      </c>
      <c r="L15" s="79">
        <f t="shared" si="2"/>
        <v>120310900</v>
      </c>
      <c r="M15" s="40">
        <f t="shared" si="3"/>
        <v>0.18284524683901635</v>
      </c>
      <c r="N15" s="106">
        <v>139726336</v>
      </c>
      <c r="O15" s="107">
        <v>20192427</v>
      </c>
      <c r="P15" s="108">
        <f t="shared" si="4"/>
        <v>159918763</v>
      </c>
      <c r="Q15" s="40">
        <f t="shared" si="5"/>
        <v>0.2430402041288458</v>
      </c>
      <c r="R15" s="106">
        <v>126604479</v>
      </c>
      <c r="S15" s="108">
        <v>19560560</v>
      </c>
      <c r="T15" s="108">
        <f t="shared" si="6"/>
        <v>146165039</v>
      </c>
      <c r="U15" s="40">
        <f t="shared" si="7"/>
        <v>0.21599246692244675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380848468</v>
      </c>
      <c r="AA15" s="79">
        <f t="shared" si="11"/>
        <v>45546234</v>
      </c>
      <c r="AB15" s="79">
        <f t="shared" si="12"/>
        <v>426394702</v>
      </c>
      <c r="AC15" s="40">
        <f t="shared" si="13"/>
        <v>0.6300962541914112</v>
      </c>
      <c r="AD15" s="78">
        <v>100457208</v>
      </c>
      <c r="AE15" s="79">
        <v>19828262</v>
      </c>
      <c r="AF15" s="79">
        <f t="shared" si="14"/>
        <v>120285470</v>
      </c>
      <c r="AG15" s="40">
        <f>IF(653931555=0,0,379525187/653931555)</f>
        <v>0.5803744812406246</v>
      </c>
      <c r="AH15" s="40">
        <f t="shared" si="15"/>
        <v>0.21515124811001685</v>
      </c>
      <c r="AI15" s="12">
        <v>577305627</v>
      </c>
      <c r="AJ15" s="12">
        <v>653931555</v>
      </c>
      <c r="AK15" s="12">
        <v>379525187</v>
      </c>
      <c r="AL15" s="12"/>
    </row>
    <row r="16" spans="1:38" s="13" customFormat="1" ht="12.75">
      <c r="A16" s="29" t="s">
        <v>114</v>
      </c>
      <c r="B16" s="61" t="s">
        <v>604</v>
      </c>
      <c r="C16" s="39" t="s">
        <v>605</v>
      </c>
      <c r="D16" s="78">
        <v>332581520</v>
      </c>
      <c r="E16" s="79">
        <v>8315000</v>
      </c>
      <c r="F16" s="80">
        <f t="shared" si="0"/>
        <v>340896520</v>
      </c>
      <c r="G16" s="78">
        <v>361677670</v>
      </c>
      <c r="H16" s="79">
        <v>8315000</v>
      </c>
      <c r="I16" s="81">
        <f t="shared" si="1"/>
        <v>369992670</v>
      </c>
      <c r="J16" s="78">
        <v>78608214</v>
      </c>
      <c r="K16" s="79">
        <v>5153264</v>
      </c>
      <c r="L16" s="79">
        <f t="shared" si="2"/>
        <v>83761478</v>
      </c>
      <c r="M16" s="40">
        <f t="shared" si="3"/>
        <v>0.24570939591873803</v>
      </c>
      <c r="N16" s="106">
        <v>96314841</v>
      </c>
      <c r="O16" s="107">
        <v>1712450</v>
      </c>
      <c r="P16" s="108">
        <f t="shared" si="4"/>
        <v>98027291</v>
      </c>
      <c r="Q16" s="40">
        <f t="shared" si="5"/>
        <v>0.28755732384713106</v>
      </c>
      <c r="R16" s="106">
        <v>85394804</v>
      </c>
      <c r="S16" s="108">
        <v>1260650</v>
      </c>
      <c r="T16" s="108">
        <f t="shared" si="6"/>
        <v>86655454</v>
      </c>
      <c r="U16" s="40">
        <f t="shared" si="7"/>
        <v>0.23420856959139216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260317859</v>
      </c>
      <c r="AA16" s="79">
        <f t="shared" si="11"/>
        <v>8126364</v>
      </c>
      <c r="AB16" s="79">
        <f t="shared" si="12"/>
        <v>268444223</v>
      </c>
      <c r="AC16" s="40">
        <f t="shared" si="13"/>
        <v>0.725539300548846</v>
      </c>
      <c r="AD16" s="78">
        <v>75714119</v>
      </c>
      <c r="AE16" s="79">
        <v>9510622</v>
      </c>
      <c r="AF16" s="79">
        <f t="shared" si="14"/>
        <v>85224741</v>
      </c>
      <c r="AG16" s="40">
        <f>IF(329019660=0,0,229433184/329019660)</f>
        <v>0.697323631055968</v>
      </c>
      <c r="AH16" s="40">
        <f t="shared" si="15"/>
        <v>0.0167875312170207</v>
      </c>
      <c r="AI16" s="12">
        <v>332666250</v>
      </c>
      <c r="AJ16" s="12">
        <v>329019660</v>
      </c>
      <c r="AK16" s="12">
        <v>229433184</v>
      </c>
      <c r="AL16" s="12"/>
    </row>
    <row r="17" spans="1:38" s="57" customFormat="1" ht="12.75">
      <c r="A17" s="62"/>
      <c r="B17" s="63" t="s">
        <v>606</v>
      </c>
      <c r="C17" s="32"/>
      <c r="D17" s="82">
        <f>SUM(D11:D16)</f>
        <v>2552734649</v>
      </c>
      <c r="E17" s="83">
        <f>SUM(E11:E16)</f>
        <v>470288133</v>
      </c>
      <c r="F17" s="91">
        <f t="shared" si="0"/>
        <v>3023022782</v>
      </c>
      <c r="G17" s="82">
        <f>SUM(G11:G16)</f>
        <v>2686194299</v>
      </c>
      <c r="H17" s="83">
        <f>SUM(H11:H16)</f>
        <v>433801558</v>
      </c>
      <c r="I17" s="84">
        <f t="shared" si="1"/>
        <v>3119995857</v>
      </c>
      <c r="J17" s="82">
        <f>SUM(J11:J16)</f>
        <v>542581073</v>
      </c>
      <c r="K17" s="83">
        <f>SUM(K11:K16)</f>
        <v>45207229</v>
      </c>
      <c r="L17" s="83">
        <f t="shared" si="2"/>
        <v>587788302</v>
      </c>
      <c r="M17" s="44">
        <f t="shared" si="3"/>
        <v>0.194437271693707</v>
      </c>
      <c r="N17" s="112">
        <f>SUM(N11:N16)</f>
        <v>627703203</v>
      </c>
      <c r="O17" s="113">
        <f>SUM(O11:O16)</f>
        <v>80970824</v>
      </c>
      <c r="P17" s="114">
        <f t="shared" si="4"/>
        <v>708674027</v>
      </c>
      <c r="Q17" s="44">
        <f t="shared" si="5"/>
        <v>0.23442563225777238</v>
      </c>
      <c r="R17" s="112">
        <f>SUM(R11:R16)</f>
        <v>573467752</v>
      </c>
      <c r="S17" s="114">
        <f>SUM(S11:S16)</f>
        <v>98689234</v>
      </c>
      <c r="T17" s="114">
        <f t="shared" si="6"/>
        <v>672156986</v>
      </c>
      <c r="U17" s="44">
        <f t="shared" si="7"/>
        <v>0.21543521748336733</v>
      </c>
      <c r="V17" s="112">
        <f>SUM(V11:V16)</f>
        <v>0</v>
      </c>
      <c r="W17" s="114">
        <f>SUM(W11:W16)</f>
        <v>0</v>
      </c>
      <c r="X17" s="114">
        <f t="shared" si="8"/>
        <v>0</v>
      </c>
      <c r="Y17" s="44">
        <f t="shared" si="9"/>
        <v>0</v>
      </c>
      <c r="Z17" s="82">
        <f t="shared" si="10"/>
        <v>1743752028</v>
      </c>
      <c r="AA17" s="83">
        <f t="shared" si="11"/>
        <v>224867287</v>
      </c>
      <c r="AB17" s="83">
        <f t="shared" si="12"/>
        <v>1968619315</v>
      </c>
      <c r="AC17" s="44">
        <f t="shared" si="13"/>
        <v>0.6309685670201196</v>
      </c>
      <c r="AD17" s="82">
        <f>SUM(AD11:AD16)</f>
        <v>510179390</v>
      </c>
      <c r="AE17" s="83">
        <f>SUM(AE11:AE16)</f>
        <v>74559762</v>
      </c>
      <c r="AF17" s="83">
        <f t="shared" si="14"/>
        <v>584739152</v>
      </c>
      <c r="AG17" s="44">
        <f>IF(329019660=0,0,229433184/329019660)</f>
        <v>0.697323631055968</v>
      </c>
      <c r="AH17" s="44">
        <f t="shared" si="15"/>
        <v>0.14949885551703224</v>
      </c>
      <c r="AI17" s="64">
        <f>SUM(AI11:AI16)</f>
        <v>2723962129</v>
      </c>
      <c r="AJ17" s="64">
        <f>SUM(AJ11:AJ16)</f>
        <v>2865130084</v>
      </c>
      <c r="AK17" s="64">
        <f>SUM(AK11:AK16)</f>
        <v>1732751451</v>
      </c>
      <c r="AL17" s="64"/>
    </row>
    <row r="18" spans="1:38" s="13" customFormat="1" ht="12.75">
      <c r="A18" s="29" t="s">
        <v>95</v>
      </c>
      <c r="B18" s="61" t="s">
        <v>607</v>
      </c>
      <c r="C18" s="39" t="s">
        <v>608</v>
      </c>
      <c r="D18" s="78">
        <v>455124108</v>
      </c>
      <c r="E18" s="79">
        <v>52768347</v>
      </c>
      <c r="F18" s="80">
        <f t="shared" si="0"/>
        <v>507892455</v>
      </c>
      <c r="G18" s="78">
        <v>413756742</v>
      </c>
      <c r="H18" s="79">
        <v>67232142</v>
      </c>
      <c r="I18" s="81">
        <f t="shared" si="1"/>
        <v>480988884</v>
      </c>
      <c r="J18" s="78">
        <v>86355926</v>
      </c>
      <c r="K18" s="79">
        <v>5355232</v>
      </c>
      <c r="L18" s="79">
        <f t="shared" si="2"/>
        <v>91711158</v>
      </c>
      <c r="M18" s="40">
        <f t="shared" si="3"/>
        <v>0.18057200318126404</v>
      </c>
      <c r="N18" s="106">
        <v>100643818</v>
      </c>
      <c r="O18" s="107">
        <v>16258782</v>
      </c>
      <c r="P18" s="108">
        <f t="shared" si="4"/>
        <v>116902600</v>
      </c>
      <c r="Q18" s="40">
        <f t="shared" si="5"/>
        <v>0.23017195638395535</v>
      </c>
      <c r="R18" s="106">
        <v>98769738</v>
      </c>
      <c r="S18" s="108">
        <v>13171940</v>
      </c>
      <c r="T18" s="108">
        <f t="shared" si="6"/>
        <v>111941678</v>
      </c>
      <c r="U18" s="40">
        <f t="shared" si="7"/>
        <v>0.23273235977736234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285769482</v>
      </c>
      <c r="AA18" s="79">
        <f t="shared" si="11"/>
        <v>34785954</v>
      </c>
      <c r="AB18" s="79">
        <f t="shared" si="12"/>
        <v>320555436</v>
      </c>
      <c r="AC18" s="40">
        <f t="shared" si="13"/>
        <v>0.6664508196825605</v>
      </c>
      <c r="AD18" s="78">
        <v>87574054</v>
      </c>
      <c r="AE18" s="79">
        <v>11998876</v>
      </c>
      <c r="AF18" s="79">
        <f t="shared" si="14"/>
        <v>99572930</v>
      </c>
      <c r="AG18" s="40">
        <f>IF(480988884=0,0,272129277/480988884)</f>
        <v>0.565770407700316</v>
      </c>
      <c r="AH18" s="40">
        <f t="shared" si="15"/>
        <v>0.12421797771743792</v>
      </c>
      <c r="AI18" s="12">
        <v>459488325</v>
      </c>
      <c r="AJ18" s="12">
        <v>480988884</v>
      </c>
      <c r="AK18" s="12">
        <v>272129277</v>
      </c>
      <c r="AL18" s="12"/>
    </row>
    <row r="19" spans="1:38" s="13" customFormat="1" ht="12.75">
      <c r="A19" s="29" t="s">
        <v>95</v>
      </c>
      <c r="B19" s="61" t="s">
        <v>57</v>
      </c>
      <c r="C19" s="39" t="s">
        <v>58</v>
      </c>
      <c r="D19" s="78">
        <v>1907865282</v>
      </c>
      <c r="E19" s="79">
        <v>375837493</v>
      </c>
      <c r="F19" s="80">
        <f t="shared" si="0"/>
        <v>2283702775</v>
      </c>
      <c r="G19" s="78">
        <v>1943930827</v>
      </c>
      <c r="H19" s="79">
        <v>665830951</v>
      </c>
      <c r="I19" s="81">
        <f t="shared" si="1"/>
        <v>2609761778</v>
      </c>
      <c r="J19" s="78">
        <v>349440059</v>
      </c>
      <c r="K19" s="79">
        <v>31011921</v>
      </c>
      <c r="L19" s="79">
        <f t="shared" si="2"/>
        <v>380451980</v>
      </c>
      <c r="M19" s="40">
        <f t="shared" si="3"/>
        <v>0.16659435026521785</v>
      </c>
      <c r="N19" s="106">
        <v>395444686</v>
      </c>
      <c r="O19" s="107">
        <v>100160953</v>
      </c>
      <c r="P19" s="108">
        <f t="shared" si="4"/>
        <v>495605639</v>
      </c>
      <c r="Q19" s="40">
        <f t="shared" si="5"/>
        <v>0.21701845109856732</v>
      </c>
      <c r="R19" s="106">
        <v>359862037</v>
      </c>
      <c r="S19" s="108">
        <v>57870180</v>
      </c>
      <c r="T19" s="108">
        <f t="shared" si="6"/>
        <v>417732217</v>
      </c>
      <c r="U19" s="40">
        <f t="shared" si="7"/>
        <v>0.16006526745905925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1104746782</v>
      </c>
      <c r="AA19" s="79">
        <f t="shared" si="11"/>
        <v>189043054</v>
      </c>
      <c r="AB19" s="79">
        <f t="shared" si="12"/>
        <v>1293789836</v>
      </c>
      <c r="AC19" s="40">
        <f t="shared" si="13"/>
        <v>0.4957501665119413</v>
      </c>
      <c r="AD19" s="78">
        <v>338830152</v>
      </c>
      <c r="AE19" s="79">
        <v>36689538</v>
      </c>
      <c r="AF19" s="79">
        <f t="shared" si="14"/>
        <v>375519690</v>
      </c>
      <c r="AG19" s="40">
        <f>IF(1985639364=0,0,1063185956/1985639364)</f>
        <v>0.5354375901665495</v>
      </c>
      <c r="AH19" s="40">
        <f t="shared" si="15"/>
        <v>0.11241095506869425</v>
      </c>
      <c r="AI19" s="12">
        <v>1844335026</v>
      </c>
      <c r="AJ19" s="12">
        <v>1985639364</v>
      </c>
      <c r="AK19" s="12">
        <v>1063185956</v>
      </c>
      <c r="AL19" s="12"/>
    </row>
    <row r="20" spans="1:38" s="13" customFormat="1" ht="12.75">
      <c r="A20" s="29" t="s">
        <v>95</v>
      </c>
      <c r="B20" s="61" t="s">
        <v>85</v>
      </c>
      <c r="C20" s="39" t="s">
        <v>86</v>
      </c>
      <c r="D20" s="78">
        <v>1274227238</v>
      </c>
      <c r="E20" s="79">
        <v>452759209</v>
      </c>
      <c r="F20" s="80">
        <f t="shared" si="0"/>
        <v>1726986447</v>
      </c>
      <c r="G20" s="78">
        <v>1284671161</v>
      </c>
      <c r="H20" s="79">
        <v>437183144</v>
      </c>
      <c r="I20" s="81">
        <f t="shared" si="1"/>
        <v>1721854305</v>
      </c>
      <c r="J20" s="78">
        <v>197801707</v>
      </c>
      <c r="K20" s="79">
        <v>48711947</v>
      </c>
      <c r="L20" s="79">
        <f t="shared" si="2"/>
        <v>246513654</v>
      </c>
      <c r="M20" s="40">
        <f t="shared" si="3"/>
        <v>0.1427420895098663</v>
      </c>
      <c r="N20" s="106">
        <v>332124043</v>
      </c>
      <c r="O20" s="107">
        <v>56789014</v>
      </c>
      <c r="P20" s="108">
        <f t="shared" si="4"/>
        <v>388913057</v>
      </c>
      <c r="Q20" s="40">
        <f t="shared" si="5"/>
        <v>0.22519751540354735</v>
      </c>
      <c r="R20" s="106">
        <v>265834816</v>
      </c>
      <c r="S20" s="108">
        <v>49287246</v>
      </c>
      <c r="T20" s="108">
        <f t="shared" si="6"/>
        <v>315122062</v>
      </c>
      <c r="U20" s="40">
        <f t="shared" si="7"/>
        <v>0.18301319750743952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795760566</v>
      </c>
      <c r="AA20" s="79">
        <f t="shared" si="11"/>
        <v>154788207</v>
      </c>
      <c r="AB20" s="79">
        <f t="shared" si="12"/>
        <v>950548773</v>
      </c>
      <c r="AC20" s="40">
        <f t="shared" si="13"/>
        <v>0.5520494795870664</v>
      </c>
      <c r="AD20" s="78">
        <v>227659901</v>
      </c>
      <c r="AE20" s="79">
        <v>37201856</v>
      </c>
      <c r="AF20" s="79">
        <f t="shared" si="14"/>
        <v>264861757</v>
      </c>
      <c r="AG20" s="40">
        <f>IF(1410869624=0,0,771793344/1410869624)</f>
        <v>0.547033780351628</v>
      </c>
      <c r="AH20" s="40">
        <f t="shared" si="15"/>
        <v>0.1897605209951092</v>
      </c>
      <c r="AI20" s="12">
        <v>1415400212</v>
      </c>
      <c r="AJ20" s="12">
        <v>1410869624</v>
      </c>
      <c r="AK20" s="12">
        <v>771793344</v>
      </c>
      <c r="AL20" s="12"/>
    </row>
    <row r="21" spans="1:38" s="13" customFormat="1" ht="12.75">
      <c r="A21" s="29" t="s">
        <v>95</v>
      </c>
      <c r="B21" s="61" t="s">
        <v>609</v>
      </c>
      <c r="C21" s="39" t="s">
        <v>610</v>
      </c>
      <c r="D21" s="78">
        <v>826769266</v>
      </c>
      <c r="E21" s="79">
        <v>151930285</v>
      </c>
      <c r="F21" s="81">
        <f t="shared" si="0"/>
        <v>978699551</v>
      </c>
      <c r="G21" s="78">
        <v>867201547</v>
      </c>
      <c r="H21" s="79">
        <v>125262046</v>
      </c>
      <c r="I21" s="81">
        <f t="shared" si="1"/>
        <v>992463593</v>
      </c>
      <c r="J21" s="78">
        <v>185620081</v>
      </c>
      <c r="K21" s="79">
        <v>18898492</v>
      </c>
      <c r="L21" s="79">
        <f t="shared" si="2"/>
        <v>204518573</v>
      </c>
      <c r="M21" s="40">
        <f t="shared" si="3"/>
        <v>0.20896972190395946</v>
      </c>
      <c r="N21" s="106">
        <v>194267603</v>
      </c>
      <c r="O21" s="107">
        <v>15698083</v>
      </c>
      <c r="P21" s="108">
        <f t="shared" si="4"/>
        <v>209965686</v>
      </c>
      <c r="Q21" s="40">
        <f t="shared" si="5"/>
        <v>0.21453538604923708</v>
      </c>
      <c r="R21" s="106">
        <v>196283244</v>
      </c>
      <c r="S21" s="108">
        <v>21408921</v>
      </c>
      <c r="T21" s="108">
        <f t="shared" si="6"/>
        <v>217692165</v>
      </c>
      <c r="U21" s="40">
        <f t="shared" si="7"/>
        <v>0.21934524000216904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576170928</v>
      </c>
      <c r="AA21" s="79">
        <f t="shared" si="11"/>
        <v>56005496</v>
      </c>
      <c r="AB21" s="79">
        <f t="shared" si="12"/>
        <v>632176424</v>
      </c>
      <c r="AC21" s="40">
        <f t="shared" si="13"/>
        <v>0.6369769414806131</v>
      </c>
      <c r="AD21" s="78">
        <v>170744640</v>
      </c>
      <c r="AE21" s="79">
        <v>6921122</v>
      </c>
      <c r="AF21" s="79">
        <f t="shared" si="14"/>
        <v>177665762</v>
      </c>
      <c r="AG21" s="40">
        <f>IF(889179935=0,0,572125945/889179935)</f>
        <v>0.64343101151962</v>
      </c>
      <c r="AH21" s="40">
        <f t="shared" si="15"/>
        <v>0.22529046986554446</v>
      </c>
      <c r="AI21" s="12">
        <v>835809745</v>
      </c>
      <c r="AJ21" s="12">
        <v>889179935</v>
      </c>
      <c r="AK21" s="12">
        <v>572125945</v>
      </c>
      <c r="AL21" s="12"/>
    </row>
    <row r="22" spans="1:38" s="13" customFormat="1" ht="12.75">
      <c r="A22" s="29" t="s">
        <v>95</v>
      </c>
      <c r="B22" s="61" t="s">
        <v>611</v>
      </c>
      <c r="C22" s="39" t="s">
        <v>612</v>
      </c>
      <c r="D22" s="78">
        <v>554277580</v>
      </c>
      <c r="E22" s="79">
        <v>51623720</v>
      </c>
      <c r="F22" s="80">
        <f t="shared" si="0"/>
        <v>605901300</v>
      </c>
      <c r="G22" s="78">
        <v>587907306</v>
      </c>
      <c r="H22" s="79">
        <v>58673640</v>
      </c>
      <c r="I22" s="81">
        <f t="shared" si="1"/>
        <v>646580946</v>
      </c>
      <c r="J22" s="78">
        <v>119692376</v>
      </c>
      <c r="K22" s="79">
        <v>9874616</v>
      </c>
      <c r="L22" s="79">
        <f t="shared" si="2"/>
        <v>129566992</v>
      </c>
      <c r="M22" s="40">
        <f t="shared" si="3"/>
        <v>0.2138417461721901</v>
      </c>
      <c r="N22" s="106">
        <v>133459488</v>
      </c>
      <c r="O22" s="107">
        <v>7016968</v>
      </c>
      <c r="P22" s="108">
        <f t="shared" si="4"/>
        <v>140476456</v>
      </c>
      <c r="Q22" s="40">
        <f t="shared" si="5"/>
        <v>0.23184709456804267</v>
      </c>
      <c r="R22" s="106">
        <v>143578763</v>
      </c>
      <c r="S22" s="108">
        <v>13840801</v>
      </c>
      <c r="T22" s="108">
        <f t="shared" si="6"/>
        <v>157419564</v>
      </c>
      <c r="U22" s="40">
        <f t="shared" si="7"/>
        <v>0.24346458857759165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396730627</v>
      </c>
      <c r="AA22" s="79">
        <f t="shared" si="11"/>
        <v>30732385</v>
      </c>
      <c r="AB22" s="79">
        <f t="shared" si="12"/>
        <v>427463012</v>
      </c>
      <c r="AC22" s="40">
        <f t="shared" si="13"/>
        <v>0.6611129119168322</v>
      </c>
      <c r="AD22" s="78">
        <v>124581872</v>
      </c>
      <c r="AE22" s="79">
        <v>9665834</v>
      </c>
      <c r="AF22" s="79">
        <f t="shared" si="14"/>
        <v>134247706</v>
      </c>
      <c r="AG22" s="40">
        <f>IF(570259378=0,0,387296181/570259378)</f>
        <v>0.6791579339884175</v>
      </c>
      <c r="AH22" s="40">
        <f t="shared" si="15"/>
        <v>0.17260524362330631</v>
      </c>
      <c r="AI22" s="12">
        <v>547212260</v>
      </c>
      <c r="AJ22" s="12">
        <v>570259378</v>
      </c>
      <c r="AK22" s="12">
        <v>387296181</v>
      </c>
      <c r="AL22" s="12"/>
    </row>
    <row r="23" spans="1:38" s="13" customFormat="1" ht="12.75">
      <c r="A23" s="29" t="s">
        <v>114</v>
      </c>
      <c r="B23" s="61" t="s">
        <v>613</v>
      </c>
      <c r="C23" s="39" t="s">
        <v>614</v>
      </c>
      <c r="D23" s="78">
        <v>368288700</v>
      </c>
      <c r="E23" s="79">
        <v>18188809</v>
      </c>
      <c r="F23" s="80">
        <f t="shared" si="0"/>
        <v>386477509</v>
      </c>
      <c r="G23" s="78">
        <v>399927462</v>
      </c>
      <c r="H23" s="79">
        <v>11016887</v>
      </c>
      <c r="I23" s="81">
        <f t="shared" si="1"/>
        <v>410944349</v>
      </c>
      <c r="J23" s="78">
        <v>68101485</v>
      </c>
      <c r="K23" s="79">
        <v>585741</v>
      </c>
      <c r="L23" s="79">
        <f t="shared" si="2"/>
        <v>68687226</v>
      </c>
      <c r="M23" s="40">
        <f t="shared" si="3"/>
        <v>0.17772632145587547</v>
      </c>
      <c r="N23" s="106">
        <v>84423105</v>
      </c>
      <c r="O23" s="107">
        <v>1411662</v>
      </c>
      <c r="P23" s="108">
        <f t="shared" si="4"/>
        <v>85834767</v>
      </c>
      <c r="Q23" s="40">
        <f t="shared" si="5"/>
        <v>0.22209511550127486</v>
      </c>
      <c r="R23" s="106">
        <v>104521313</v>
      </c>
      <c r="S23" s="108">
        <v>1512647</v>
      </c>
      <c r="T23" s="108">
        <f t="shared" si="6"/>
        <v>106033960</v>
      </c>
      <c r="U23" s="40">
        <f t="shared" si="7"/>
        <v>0.2580251079203914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257045903</v>
      </c>
      <c r="AA23" s="79">
        <f t="shared" si="11"/>
        <v>3510050</v>
      </c>
      <c r="AB23" s="79">
        <f t="shared" si="12"/>
        <v>260555953</v>
      </c>
      <c r="AC23" s="40">
        <f t="shared" si="13"/>
        <v>0.6340419417715366</v>
      </c>
      <c r="AD23" s="78">
        <v>73598026</v>
      </c>
      <c r="AE23" s="79">
        <v>1812240</v>
      </c>
      <c r="AF23" s="79">
        <f t="shared" si="14"/>
        <v>75410266</v>
      </c>
      <c r="AG23" s="40">
        <f>IF(357978859=0,0,213322900/357978859)</f>
        <v>0.5959092126163796</v>
      </c>
      <c r="AH23" s="40">
        <f t="shared" si="15"/>
        <v>0.40609449647081197</v>
      </c>
      <c r="AI23" s="12">
        <v>379220311</v>
      </c>
      <c r="AJ23" s="12">
        <v>357978859</v>
      </c>
      <c r="AK23" s="12">
        <v>213322900</v>
      </c>
      <c r="AL23" s="12"/>
    </row>
    <row r="24" spans="1:38" s="57" customFormat="1" ht="12.75">
      <c r="A24" s="62"/>
      <c r="B24" s="63" t="s">
        <v>615</v>
      </c>
      <c r="C24" s="32"/>
      <c r="D24" s="82">
        <f>SUM(D18:D23)</f>
        <v>5386552174</v>
      </c>
      <c r="E24" s="83">
        <f>SUM(E18:E23)</f>
        <v>1103107863</v>
      </c>
      <c r="F24" s="91">
        <f t="shared" si="0"/>
        <v>6489660037</v>
      </c>
      <c r="G24" s="82">
        <f>SUM(G18:G23)</f>
        <v>5497395045</v>
      </c>
      <c r="H24" s="83">
        <f>SUM(H18:H23)</f>
        <v>1365198810</v>
      </c>
      <c r="I24" s="84">
        <f t="shared" si="1"/>
        <v>6862593855</v>
      </c>
      <c r="J24" s="82">
        <f>SUM(J18:J23)</f>
        <v>1007011634</v>
      </c>
      <c r="K24" s="83">
        <f>SUM(K18:K23)</f>
        <v>114437949</v>
      </c>
      <c r="L24" s="83">
        <f t="shared" si="2"/>
        <v>1121449583</v>
      </c>
      <c r="M24" s="44">
        <f t="shared" si="3"/>
        <v>0.1728055979213384</v>
      </c>
      <c r="N24" s="112">
        <f>SUM(N18:N23)</f>
        <v>1240362743</v>
      </c>
      <c r="O24" s="113">
        <f>SUM(O18:O23)</f>
        <v>197335462</v>
      </c>
      <c r="P24" s="114">
        <f t="shared" si="4"/>
        <v>1437698205</v>
      </c>
      <c r="Q24" s="44">
        <f t="shared" si="5"/>
        <v>0.22153675181799048</v>
      </c>
      <c r="R24" s="112">
        <f>SUM(R18:R23)</f>
        <v>1168849911</v>
      </c>
      <c r="S24" s="114">
        <f>SUM(S18:S23)</f>
        <v>157091735</v>
      </c>
      <c r="T24" s="114">
        <f t="shared" si="6"/>
        <v>1325941646</v>
      </c>
      <c r="U24" s="44">
        <f t="shared" si="7"/>
        <v>0.19321289792400223</v>
      </c>
      <c r="V24" s="112">
        <f>SUM(V18:V23)</f>
        <v>0</v>
      </c>
      <c r="W24" s="114">
        <f>SUM(W18:W23)</f>
        <v>0</v>
      </c>
      <c r="X24" s="114">
        <f t="shared" si="8"/>
        <v>0</v>
      </c>
      <c r="Y24" s="44">
        <f t="shared" si="9"/>
        <v>0</v>
      </c>
      <c r="Z24" s="82">
        <f t="shared" si="10"/>
        <v>3416224288</v>
      </c>
      <c r="AA24" s="83">
        <f t="shared" si="11"/>
        <v>468865146</v>
      </c>
      <c r="AB24" s="83">
        <f t="shared" si="12"/>
        <v>3885089434</v>
      </c>
      <c r="AC24" s="44">
        <f t="shared" si="13"/>
        <v>0.5661255082390417</v>
      </c>
      <c r="AD24" s="82">
        <f>SUM(AD18:AD23)</f>
        <v>1022988645</v>
      </c>
      <c r="AE24" s="83">
        <f>SUM(AE18:AE23)</f>
        <v>104289466</v>
      </c>
      <c r="AF24" s="83">
        <f t="shared" si="14"/>
        <v>1127278111</v>
      </c>
      <c r="AG24" s="44">
        <f>IF(357978859=0,0,213322900/357978859)</f>
        <v>0.5959092126163796</v>
      </c>
      <c r="AH24" s="44">
        <f t="shared" si="15"/>
        <v>0.17623293937976592</v>
      </c>
      <c r="AI24" s="64">
        <f>SUM(AI18:AI23)</f>
        <v>5481465879</v>
      </c>
      <c r="AJ24" s="64">
        <f>SUM(AJ18:AJ23)</f>
        <v>5694916044</v>
      </c>
      <c r="AK24" s="64">
        <f>SUM(AK18:AK23)</f>
        <v>3279853603</v>
      </c>
      <c r="AL24" s="64"/>
    </row>
    <row r="25" spans="1:38" s="13" customFormat="1" ht="12.75">
      <c r="A25" s="29" t="s">
        <v>95</v>
      </c>
      <c r="B25" s="61" t="s">
        <v>616</v>
      </c>
      <c r="C25" s="39" t="s">
        <v>617</v>
      </c>
      <c r="D25" s="78">
        <v>449331362</v>
      </c>
      <c r="E25" s="79">
        <v>60972919</v>
      </c>
      <c r="F25" s="80">
        <f t="shared" si="0"/>
        <v>510304281</v>
      </c>
      <c r="G25" s="78">
        <v>488948173</v>
      </c>
      <c r="H25" s="79">
        <v>79790925</v>
      </c>
      <c r="I25" s="81">
        <f t="shared" si="1"/>
        <v>568739098</v>
      </c>
      <c r="J25" s="78">
        <v>85555133</v>
      </c>
      <c r="K25" s="79">
        <v>6654124</v>
      </c>
      <c r="L25" s="79">
        <f t="shared" si="2"/>
        <v>92209257</v>
      </c>
      <c r="M25" s="40">
        <f t="shared" si="3"/>
        <v>0.1806946569589919</v>
      </c>
      <c r="N25" s="106">
        <v>109593323</v>
      </c>
      <c r="O25" s="107">
        <v>12562014</v>
      </c>
      <c r="P25" s="108">
        <f t="shared" si="4"/>
        <v>122155337</v>
      </c>
      <c r="Q25" s="40">
        <f t="shared" si="5"/>
        <v>0.23937744900086386</v>
      </c>
      <c r="R25" s="106">
        <v>104710237</v>
      </c>
      <c r="S25" s="108">
        <v>6693598</v>
      </c>
      <c r="T25" s="108">
        <f t="shared" si="6"/>
        <v>111403835</v>
      </c>
      <c r="U25" s="40">
        <f t="shared" si="7"/>
        <v>0.19587862939572337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299858693</v>
      </c>
      <c r="AA25" s="79">
        <f t="shared" si="11"/>
        <v>25909736</v>
      </c>
      <c r="AB25" s="79">
        <f t="shared" si="12"/>
        <v>325768429</v>
      </c>
      <c r="AC25" s="40">
        <f t="shared" si="13"/>
        <v>0.5727906348369248</v>
      </c>
      <c r="AD25" s="78">
        <v>96188237</v>
      </c>
      <c r="AE25" s="79">
        <v>10977927</v>
      </c>
      <c r="AF25" s="79">
        <f t="shared" si="14"/>
        <v>107166164</v>
      </c>
      <c r="AG25" s="40">
        <f>IF(495871333=0,0,301162345/495871333)</f>
        <v>0.6073396967273363</v>
      </c>
      <c r="AH25" s="40">
        <f t="shared" si="15"/>
        <v>0.039542994186112734</v>
      </c>
      <c r="AI25" s="12">
        <v>439138221</v>
      </c>
      <c r="AJ25" s="12">
        <v>495871333</v>
      </c>
      <c r="AK25" s="12">
        <v>301162345</v>
      </c>
      <c r="AL25" s="12"/>
    </row>
    <row r="26" spans="1:38" s="13" customFormat="1" ht="12.75">
      <c r="A26" s="29" t="s">
        <v>95</v>
      </c>
      <c r="B26" s="61" t="s">
        <v>618</v>
      </c>
      <c r="C26" s="39" t="s">
        <v>619</v>
      </c>
      <c r="D26" s="78">
        <v>964529285</v>
      </c>
      <c r="E26" s="79">
        <v>103914091</v>
      </c>
      <c r="F26" s="80">
        <f t="shared" si="0"/>
        <v>1068443376</v>
      </c>
      <c r="G26" s="78">
        <v>974636910</v>
      </c>
      <c r="H26" s="79">
        <v>102627452</v>
      </c>
      <c r="I26" s="81">
        <f t="shared" si="1"/>
        <v>1077264362</v>
      </c>
      <c r="J26" s="78">
        <v>194255415</v>
      </c>
      <c r="K26" s="79">
        <v>24627041</v>
      </c>
      <c r="L26" s="79">
        <f t="shared" si="2"/>
        <v>218882456</v>
      </c>
      <c r="M26" s="40">
        <f t="shared" si="3"/>
        <v>0.20486107258153846</v>
      </c>
      <c r="N26" s="106">
        <v>244566072</v>
      </c>
      <c r="O26" s="107">
        <v>21927938</v>
      </c>
      <c r="P26" s="108">
        <f t="shared" si="4"/>
        <v>266494010</v>
      </c>
      <c r="Q26" s="40">
        <f t="shared" si="5"/>
        <v>0.24942267974713897</v>
      </c>
      <c r="R26" s="106">
        <v>232782749</v>
      </c>
      <c r="S26" s="108">
        <v>10296307</v>
      </c>
      <c r="T26" s="108">
        <f t="shared" si="6"/>
        <v>243079056</v>
      </c>
      <c r="U26" s="40">
        <f t="shared" si="7"/>
        <v>0.22564475775352902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671604236</v>
      </c>
      <c r="AA26" s="79">
        <f t="shared" si="11"/>
        <v>56851286</v>
      </c>
      <c r="AB26" s="79">
        <f t="shared" si="12"/>
        <v>728455522</v>
      </c>
      <c r="AC26" s="40">
        <f t="shared" si="13"/>
        <v>0.6762086890608565</v>
      </c>
      <c r="AD26" s="78">
        <v>219465898</v>
      </c>
      <c r="AE26" s="79">
        <v>25131294</v>
      </c>
      <c r="AF26" s="79">
        <f t="shared" si="14"/>
        <v>244597192</v>
      </c>
      <c r="AG26" s="40">
        <f>IF(1056107008=0,0,677373541/1056107008)</f>
        <v>0.6413872229508016</v>
      </c>
      <c r="AH26" s="40">
        <f t="shared" si="15"/>
        <v>-0.006206677957284135</v>
      </c>
      <c r="AI26" s="12">
        <v>967308983</v>
      </c>
      <c r="AJ26" s="12">
        <v>1056107008</v>
      </c>
      <c r="AK26" s="12">
        <v>677373541</v>
      </c>
      <c r="AL26" s="12"/>
    </row>
    <row r="27" spans="1:38" s="13" customFormat="1" ht="12.75">
      <c r="A27" s="29" t="s">
        <v>95</v>
      </c>
      <c r="B27" s="61" t="s">
        <v>620</v>
      </c>
      <c r="C27" s="39" t="s">
        <v>621</v>
      </c>
      <c r="D27" s="78">
        <v>236596669</v>
      </c>
      <c r="E27" s="79">
        <v>21691415</v>
      </c>
      <c r="F27" s="80">
        <f t="shared" si="0"/>
        <v>258288084</v>
      </c>
      <c r="G27" s="78">
        <v>254838850</v>
      </c>
      <c r="H27" s="79">
        <v>21691415</v>
      </c>
      <c r="I27" s="81">
        <f t="shared" si="1"/>
        <v>276530265</v>
      </c>
      <c r="J27" s="78">
        <v>52384158</v>
      </c>
      <c r="K27" s="79">
        <v>1337656</v>
      </c>
      <c r="L27" s="79">
        <f t="shared" si="2"/>
        <v>53721814</v>
      </c>
      <c r="M27" s="40">
        <f t="shared" si="3"/>
        <v>0.20799184061468357</v>
      </c>
      <c r="N27" s="106">
        <v>64479566</v>
      </c>
      <c r="O27" s="107">
        <v>4944221</v>
      </c>
      <c r="P27" s="108">
        <f t="shared" si="4"/>
        <v>69423787</v>
      </c>
      <c r="Q27" s="40">
        <f t="shared" si="5"/>
        <v>0.2687843199146578</v>
      </c>
      <c r="R27" s="106">
        <v>56983187</v>
      </c>
      <c r="S27" s="108">
        <v>3300499</v>
      </c>
      <c r="T27" s="108">
        <f t="shared" si="6"/>
        <v>60283686</v>
      </c>
      <c r="U27" s="40">
        <f t="shared" si="7"/>
        <v>0.21800031906091727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173846911</v>
      </c>
      <c r="AA27" s="79">
        <f t="shared" si="11"/>
        <v>9582376</v>
      </c>
      <c r="AB27" s="79">
        <f t="shared" si="12"/>
        <v>183429287</v>
      </c>
      <c r="AC27" s="40">
        <f t="shared" si="13"/>
        <v>0.6633244538350983</v>
      </c>
      <c r="AD27" s="78">
        <v>67645262</v>
      </c>
      <c r="AE27" s="79">
        <v>5753613</v>
      </c>
      <c r="AF27" s="79">
        <f t="shared" si="14"/>
        <v>73398875</v>
      </c>
      <c r="AG27" s="40">
        <f>IF(263270817=0,0,183044906/263270817)</f>
        <v>0.6952722982585646</v>
      </c>
      <c r="AH27" s="40">
        <f t="shared" si="15"/>
        <v>-0.17868378772835414</v>
      </c>
      <c r="AI27" s="12">
        <v>241180922</v>
      </c>
      <c r="AJ27" s="12">
        <v>263270817</v>
      </c>
      <c r="AK27" s="12">
        <v>183044906</v>
      </c>
      <c r="AL27" s="12"/>
    </row>
    <row r="28" spans="1:38" s="13" customFormat="1" ht="12.75">
      <c r="A28" s="29" t="s">
        <v>95</v>
      </c>
      <c r="B28" s="61" t="s">
        <v>622</v>
      </c>
      <c r="C28" s="39" t="s">
        <v>623</v>
      </c>
      <c r="D28" s="78">
        <v>215124032</v>
      </c>
      <c r="E28" s="79">
        <v>17796579</v>
      </c>
      <c r="F28" s="80">
        <f t="shared" si="0"/>
        <v>232920611</v>
      </c>
      <c r="G28" s="78">
        <v>215541600</v>
      </c>
      <c r="H28" s="79">
        <v>17345423</v>
      </c>
      <c r="I28" s="81">
        <f t="shared" si="1"/>
        <v>232887023</v>
      </c>
      <c r="J28" s="78">
        <v>41565433</v>
      </c>
      <c r="K28" s="79">
        <v>654016</v>
      </c>
      <c r="L28" s="79">
        <f t="shared" si="2"/>
        <v>42219449</v>
      </c>
      <c r="M28" s="40">
        <f t="shared" si="3"/>
        <v>0.18126111218212457</v>
      </c>
      <c r="N28" s="106">
        <v>48545681</v>
      </c>
      <c r="O28" s="107">
        <v>5656615</v>
      </c>
      <c r="P28" s="108">
        <f t="shared" si="4"/>
        <v>54202296</v>
      </c>
      <c r="Q28" s="40">
        <f t="shared" si="5"/>
        <v>0.23270716905340763</v>
      </c>
      <c r="R28" s="106">
        <v>38689554</v>
      </c>
      <c r="S28" s="108">
        <v>2694164</v>
      </c>
      <c r="T28" s="108">
        <f t="shared" si="6"/>
        <v>41383718</v>
      </c>
      <c r="U28" s="40">
        <f t="shared" si="7"/>
        <v>0.17769868611356676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128800668</v>
      </c>
      <c r="AA28" s="79">
        <f t="shared" si="11"/>
        <v>9004795</v>
      </c>
      <c r="AB28" s="79">
        <f t="shared" si="12"/>
        <v>137805463</v>
      </c>
      <c r="AC28" s="40">
        <f t="shared" si="13"/>
        <v>0.5917266716917928</v>
      </c>
      <c r="AD28" s="78">
        <v>31959518</v>
      </c>
      <c r="AE28" s="79">
        <v>2014523</v>
      </c>
      <c r="AF28" s="79">
        <f t="shared" si="14"/>
        <v>33974041</v>
      </c>
      <c r="AG28" s="40">
        <f>IF(256531088=0,0,137767887/256531088)</f>
        <v>0.537041682059213</v>
      </c>
      <c r="AH28" s="40">
        <f t="shared" si="15"/>
        <v>0.2180981944420448</v>
      </c>
      <c r="AI28" s="12">
        <v>214440980</v>
      </c>
      <c r="AJ28" s="12">
        <v>256531088</v>
      </c>
      <c r="AK28" s="12">
        <v>137767887</v>
      </c>
      <c r="AL28" s="12"/>
    </row>
    <row r="29" spans="1:38" s="13" customFormat="1" ht="12.75">
      <c r="A29" s="29" t="s">
        <v>114</v>
      </c>
      <c r="B29" s="61" t="s">
        <v>624</v>
      </c>
      <c r="C29" s="39" t="s">
        <v>625</v>
      </c>
      <c r="D29" s="78">
        <v>146650871</v>
      </c>
      <c r="E29" s="79">
        <v>629470</v>
      </c>
      <c r="F29" s="80">
        <f t="shared" si="0"/>
        <v>147280341</v>
      </c>
      <c r="G29" s="78">
        <v>162759035</v>
      </c>
      <c r="H29" s="79">
        <v>3989270</v>
      </c>
      <c r="I29" s="81">
        <f t="shared" si="1"/>
        <v>166748305</v>
      </c>
      <c r="J29" s="78">
        <v>37972669</v>
      </c>
      <c r="K29" s="79">
        <v>34149</v>
      </c>
      <c r="L29" s="79">
        <f t="shared" si="2"/>
        <v>38006818</v>
      </c>
      <c r="M29" s="40">
        <f t="shared" si="3"/>
        <v>0.2580576453173747</v>
      </c>
      <c r="N29" s="106">
        <v>44980377</v>
      </c>
      <c r="O29" s="107">
        <v>139773</v>
      </c>
      <c r="P29" s="108">
        <f t="shared" si="4"/>
        <v>45120150</v>
      </c>
      <c r="Q29" s="40">
        <f t="shared" si="5"/>
        <v>0.3063555508742338</v>
      </c>
      <c r="R29" s="106">
        <v>42079982</v>
      </c>
      <c r="S29" s="108">
        <v>263631</v>
      </c>
      <c r="T29" s="108">
        <f t="shared" si="6"/>
        <v>42343613</v>
      </c>
      <c r="U29" s="40">
        <f t="shared" si="7"/>
        <v>0.2539372918963104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125033028</v>
      </c>
      <c r="AA29" s="79">
        <f t="shared" si="11"/>
        <v>437553</v>
      </c>
      <c r="AB29" s="79">
        <f t="shared" si="12"/>
        <v>125470581</v>
      </c>
      <c r="AC29" s="40">
        <f t="shared" si="13"/>
        <v>0.7524549110109395</v>
      </c>
      <c r="AD29" s="78">
        <v>27234836</v>
      </c>
      <c r="AE29" s="79">
        <v>849532</v>
      </c>
      <c r="AF29" s="79">
        <f t="shared" si="14"/>
        <v>28084368</v>
      </c>
      <c r="AG29" s="40">
        <f>IF(129559601=0,0,96141022/129559601)</f>
        <v>0.7420601889627616</v>
      </c>
      <c r="AH29" s="40">
        <f t="shared" si="15"/>
        <v>0.5077288903207648</v>
      </c>
      <c r="AI29" s="12">
        <v>117732770</v>
      </c>
      <c r="AJ29" s="12">
        <v>129559601</v>
      </c>
      <c r="AK29" s="12">
        <v>96141022</v>
      </c>
      <c r="AL29" s="12"/>
    </row>
    <row r="30" spans="1:38" s="57" customFormat="1" ht="12.75">
      <c r="A30" s="62"/>
      <c r="B30" s="63" t="s">
        <v>626</v>
      </c>
      <c r="C30" s="32"/>
      <c r="D30" s="82">
        <f>SUM(D25:D29)</f>
        <v>2012232219</v>
      </c>
      <c r="E30" s="83">
        <f>SUM(E25:E29)</f>
        <v>205004474</v>
      </c>
      <c r="F30" s="91">
        <f t="shared" si="0"/>
        <v>2217236693</v>
      </c>
      <c r="G30" s="82">
        <f>SUM(G25:G29)</f>
        <v>2096724568</v>
      </c>
      <c r="H30" s="83">
        <f>SUM(H25:H29)</f>
        <v>225444485</v>
      </c>
      <c r="I30" s="84">
        <f t="shared" si="1"/>
        <v>2322169053</v>
      </c>
      <c r="J30" s="82">
        <f>SUM(J25:J29)</f>
        <v>411732808</v>
      </c>
      <c r="K30" s="83">
        <f>SUM(K25:K29)</f>
        <v>33306986</v>
      </c>
      <c r="L30" s="83">
        <f t="shared" si="2"/>
        <v>445039794</v>
      </c>
      <c r="M30" s="44">
        <f t="shared" si="3"/>
        <v>0.20071821623962274</v>
      </c>
      <c r="N30" s="112">
        <f>SUM(N25:N29)</f>
        <v>512165019</v>
      </c>
      <c r="O30" s="113">
        <f>SUM(O25:O29)</f>
        <v>45230561</v>
      </c>
      <c r="P30" s="114">
        <f t="shared" si="4"/>
        <v>557395580</v>
      </c>
      <c r="Q30" s="44">
        <f t="shared" si="5"/>
        <v>0.2513920059864353</v>
      </c>
      <c r="R30" s="112">
        <f>SUM(R25:R29)</f>
        <v>475245709</v>
      </c>
      <c r="S30" s="114">
        <f>SUM(S25:S29)</f>
        <v>23248199</v>
      </c>
      <c r="T30" s="114">
        <f t="shared" si="6"/>
        <v>498493908</v>
      </c>
      <c r="U30" s="44">
        <f t="shared" si="7"/>
        <v>0.2146673634100833</v>
      </c>
      <c r="V30" s="112">
        <f>SUM(V25:V29)</f>
        <v>0</v>
      </c>
      <c r="W30" s="114">
        <f>SUM(W25:W29)</f>
        <v>0</v>
      </c>
      <c r="X30" s="114">
        <f t="shared" si="8"/>
        <v>0</v>
      </c>
      <c r="Y30" s="44">
        <f t="shared" si="9"/>
        <v>0</v>
      </c>
      <c r="Z30" s="82">
        <f t="shared" si="10"/>
        <v>1399143536</v>
      </c>
      <c r="AA30" s="83">
        <f t="shared" si="11"/>
        <v>101785746</v>
      </c>
      <c r="AB30" s="83">
        <f t="shared" si="12"/>
        <v>1500929282</v>
      </c>
      <c r="AC30" s="44">
        <f t="shared" si="13"/>
        <v>0.6463479823146192</v>
      </c>
      <c r="AD30" s="82">
        <f>SUM(AD25:AD29)</f>
        <v>442493751</v>
      </c>
      <c r="AE30" s="83">
        <f>SUM(AE25:AE29)</f>
        <v>44726889</v>
      </c>
      <c r="AF30" s="83">
        <f t="shared" si="14"/>
        <v>487220640</v>
      </c>
      <c r="AG30" s="44">
        <f>IF(129559601=0,0,96141022/129559601)</f>
        <v>0.7420601889627616</v>
      </c>
      <c r="AH30" s="44">
        <f t="shared" si="15"/>
        <v>0.023137911398827482</v>
      </c>
      <c r="AI30" s="64">
        <f>SUM(AI25:AI29)</f>
        <v>1979801876</v>
      </c>
      <c r="AJ30" s="64">
        <f>SUM(AJ25:AJ29)</f>
        <v>2201339847</v>
      </c>
      <c r="AK30" s="64">
        <f>SUM(AK25:AK29)</f>
        <v>1395489701</v>
      </c>
      <c r="AL30" s="64"/>
    </row>
    <row r="31" spans="1:38" s="13" customFormat="1" ht="12.75">
      <c r="A31" s="29" t="s">
        <v>95</v>
      </c>
      <c r="B31" s="61" t="s">
        <v>627</v>
      </c>
      <c r="C31" s="39" t="s">
        <v>628</v>
      </c>
      <c r="D31" s="78">
        <v>125352453</v>
      </c>
      <c r="E31" s="79">
        <v>30544900</v>
      </c>
      <c r="F31" s="81">
        <f t="shared" si="0"/>
        <v>155897353</v>
      </c>
      <c r="G31" s="78">
        <v>130679307</v>
      </c>
      <c r="H31" s="79">
        <v>42464085</v>
      </c>
      <c r="I31" s="81">
        <f t="shared" si="1"/>
        <v>173143392</v>
      </c>
      <c r="J31" s="78">
        <v>38528221</v>
      </c>
      <c r="K31" s="79">
        <v>1220649</v>
      </c>
      <c r="L31" s="79">
        <f t="shared" si="2"/>
        <v>39748870</v>
      </c>
      <c r="M31" s="40">
        <f t="shared" si="3"/>
        <v>0.2549682161697768</v>
      </c>
      <c r="N31" s="106">
        <v>19564342</v>
      </c>
      <c r="O31" s="107">
        <v>3226289</v>
      </c>
      <c r="P31" s="108">
        <f t="shared" si="4"/>
        <v>22790631</v>
      </c>
      <c r="Q31" s="40">
        <f t="shared" si="5"/>
        <v>0.146189980531613</v>
      </c>
      <c r="R31" s="106">
        <v>8551668</v>
      </c>
      <c r="S31" s="108">
        <v>4016327</v>
      </c>
      <c r="T31" s="108">
        <f t="shared" si="6"/>
        <v>12567995</v>
      </c>
      <c r="U31" s="40">
        <f t="shared" si="7"/>
        <v>0.07258720563820305</v>
      </c>
      <c r="V31" s="106">
        <v>0</v>
      </c>
      <c r="W31" s="108">
        <v>0</v>
      </c>
      <c r="X31" s="108">
        <f t="shared" si="8"/>
        <v>0</v>
      </c>
      <c r="Y31" s="40">
        <f t="shared" si="9"/>
        <v>0</v>
      </c>
      <c r="Z31" s="78">
        <f t="shared" si="10"/>
        <v>66644231</v>
      </c>
      <c r="AA31" s="79">
        <f t="shared" si="11"/>
        <v>8463265</v>
      </c>
      <c r="AB31" s="79">
        <f t="shared" si="12"/>
        <v>75107496</v>
      </c>
      <c r="AC31" s="40">
        <f t="shared" si="13"/>
        <v>0.4337878282989858</v>
      </c>
      <c r="AD31" s="78">
        <v>35928735</v>
      </c>
      <c r="AE31" s="79">
        <v>3388820</v>
      </c>
      <c r="AF31" s="79">
        <f t="shared" si="14"/>
        <v>39317555</v>
      </c>
      <c r="AG31" s="40">
        <f>IF(139100955=0,0,83296732/139100955)</f>
        <v>0.5988221432412164</v>
      </c>
      <c r="AH31" s="40">
        <f t="shared" si="15"/>
        <v>-0.680346476275038</v>
      </c>
      <c r="AI31" s="12">
        <v>139632660</v>
      </c>
      <c r="AJ31" s="12">
        <v>139100955</v>
      </c>
      <c r="AK31" s="12">
        <v>83296732</v>
      </c>
      <c r="AL31" s="12"/>
    </row>
    <row r="32" spans="1:38" s="13" customFormat="1" ht="12.75">
      <c r="A32" s="29" t="s">
        <v>95</v>
      </c>
      <c r="B32" s="61" t="s">
        <v>629</v>
      </c>
      <c r="C32" s="39" t="s">
        <v>630</v>
      </c>
      <c r="D32" s="78">
        <v>384895048</v>
      </c>
      <c r="E32" s="79">
        <v>154732773</v>
      </c>
      <c r="F32" s="80">
        <f t="shared" si="0"/>
        <v>539627821</v>
      </c>
      <c r="G32" s="78">
        <v>397445274</v>
      </c>
      <c r="H32" s="79">
        <v>93109730</v>
      </c>
      <c r="I32" s="81">
        <f t="shared" si="1"/>
        <v>490555004</v>
      </c>
      <c r="J32" s="78">
        <v>72883991</v>
      </c>
      <c r="K32" s="79">
        <v>5480578</v>
      </c>
      <c r="L32" s="79">
        <f t="shared" si="2"/>
        <v>78364569</v>
      </c>
      <c r="M32" s="40">
        <f t="shared" si="3"/>
        <v>0.14521966057046565</v>
      </c>
      <c r="N32" s="106">
        <v>78606049</v>
      </c>
      <c r="O32" s="107">
        <v>15493273</v>
      </c>
      <c r="P32" s="108">
        <f t="shared" si="4"/>
        <v>94099322</v>
      </c>
      <c r="Q32" s="40">
        <f t="shared" si="5"/>
        <v>0.17437818870350644</v>
      </c>
      <c r="R32" s="106">
        <v>73925134</v>
      </c>
      <c r="S32" s="108">
        <v>13584679</v>
      </c>
      <c r="T32" s="108">
        <f t="shared" si="6"/>
        <v>87509813</v>
      </c>
      <c r="U32" s="40">
        <f t="shared" si="7"/>
        <v>0.1783894003454096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225415174</v>
      </c>
      <c r="AA32" s="79">
        <f t="shared" si="11"/>
        <v>34558530</v>
      </c>
      <c r="AB32" s="79">
        <f t="shared" si="12"/>
        <v>259973704</v>
      </c>
      <c r="AC32" s="40">
        <f t="shared" si="13"/>
        <v>0.5299583163563041</v>
      </c>
      <c r="AD32" s="78">
        <v>71042129</v>
      </c>
      <c r="AE32" s="79">
        <v>4181011</v>
      </c>
      <c r="AF32" s="79">
        <f t="shared" si="14"/>
        <v>75223140</v>
      </c>
      <c r="AG32" s="40">
        <f>IF(416962819=0,0,228013609/416962819)</f>
        <v>0.5468439837078135</v>
      </c>
      <c r="AH32" s="40">
        <f t="shared" si="15"/>
        <v>0.16333634836301703</v>
      </c>
      <c r="AI32" s="12">
        <v>381105063</v>
      </c>
      <c r="AJ32" s="12">
        <v>416962819</v>
      </c>
      <c r="AK32" s="12">
        <v>228013609</v>
      </c>
      <c r="AL32" s="12"/>
    </row>
    <row r="33" spans="1:38" s="13" customFormat="1" ht="12.75">
      <c r="A33" s="29" t="s">
        <v>95</v>
      </c>
      <c r="B33" s="61" t="s">
        <v>631</v>
      </c>
      <c r="C33" s="39" t="s">
        <v>632</v>
      </c>
      <c r="D33" s="78">
        <v>807387857</v>
      </c>
      <c r="E33" s="79">
        <v>142374302</v>
      </c>
      <c r="F33" s="80">
        <f t="shared" si="0"/>
        <v>949762159</v>
      </c>
      <c r="G33" s="78">
        <v>831719360</v>
      </c>
      <c r="H33" s="79">
        <v>174030886</v>
      </c>
      <c r="I33" s="81">
        <f t="shared" si="1"/>
        <v>1005750246</v>
      </c>
      <c r="J33" s="78">
        <v>153759964</v>
      </c>
      <c r="K33" s="79">
        <v>18897321</v>
      </c>
      <c r="L33" s="79">
        <f t="shared" si="2"/>
        <v>172657285</v>
      </c>
      <c r="M33" s="40">
        <f t="shared" si="3"/>
        <v>0.18179002328518756</v>
      </c>
      <c r="N33" s="106">
        <v>173444327</v>
      </c>
      <c r="O33" s="107">
        <v>30518779</v>
      </c>
      <c r="P33" s="108">
        <f t="shared" si="4"/>
        <v>203963106</v>
      </c>
      <c r="Q33" s="40">
        <f t="shared" si="5"/>
        <v>0.21475177134320847</v>
      </c>
      <c r="R33" s="106">
        <v>176337262</v>
      </c>
      <c r="S33" s="108">
        <v>32381028</v>
      </c>
      <c r="T33" s="108">
        <f t="shared" si="6"/>
        <v>208718290</v>
      </c>
      <c r="U33" s="40">
        <f t="shared" si="7"/>
        <v>0.2075249703692342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503541553</v>
      </c>
      <c r="AA33" s="79">
        <f t="shared" si="11"/>
        <v>81797128</v>
      </c>
      <c r="AB33" s="79">
        <f t="shared" si="12"/>
        <v>585338681</v>
      </c>
      <c r="AC33" s="40">
        <f t="shared" si="13"/>
        <v>0.5819920833506811</v>
      </c>
      <c r="AD33" s="78">
        <v>172721220</v>
      </c>
      <c r="AE33" s="79">
        <v>26583898</v>
      </c>
      <c r="AF33" s="79">
        <f t="shared" si="14"/>
        <v>199305118</v>
      </c>
      <c r="AG33" s="40">
        <f>IF(914341309=0,0,568740653/914341309)</f>
        <v>0.6220222660857598</v>
      </c>
      <c r="AH33" s="40">
        <f t="shared" si="15"/>
        <v>0.04722995623223292</v>
      </c>
      <c r="AI33" s="12">
        <v>905511256</v>
      </c>
      <c r="AJ33" s="12">
        <v>914341309</v>
      </c>
      <c r="AK33" s="12">
        <v>568740653</v>
      </c>
      <c r="AL33" s="12"/>
    </row>
    <row r="34" spans="1:38" s="13" customFormat="1" ht="12.75">
      <c r="A34" s="29" t="s">
        <v>95</v>
      </c>
      <c r="B34" s="61" t="s">
        <v>63</v>
      </c>
      <c r="C34" s="39" t="s">
        <v>64</v>
      </c>
      <c r="D34" s="78">
        <v>1436481300</v>
      </c>
      <c r="E34" s="79">
        <v>244338094</v>
      </c>
      <c r="F34" s="80">
        <f t="shared" si="0"/>
        <v>1680819394</v>
      </c>
      <c r="G34" s="78">
        <v>1504123811</v>
      </c>
      <c r="H34" s="79">
        <v>258235581</v>
      </c>
      <c r="I34" s="81">
        <f t="shared" si="1"/>
        <v>1762359392</v>
      </c>
      <c r="J34" s="78">
        <v>229869708</v>
      </c>
      <c r="K34" s="79">
        <v>22452626</v>
      </c>
      <c r="L34" s="79">
        <f t="shared" si="2"/>
        <v>252322334</v>
      </c>
      <c r="M34" s="40">
        <f t="shared" si="3"/>
        <v>0.1501186474291717</v>
      </c>
      <c r="N34" s="106">
        <v>385399115</v>
      </c>
      <c r="O34" s="107">
        <v>38872699</v>
      </c>
      <c r="P34" s="108">
        <f t="shared" si="4"/>
        <v>424271814</v>
      </c>
      <c r="Q34" s="40">
        <f t="shared" si="5"/>
        <v>0.2524196326592362</v>
      </c>
      <c r="R34" s="106">
        <v>308728392</v>
      </c>
      <c r="S34" s="108">
        <v>36442595</v>
      </c>
      <c r="T34" s="108">
        <f t="shared" si="6"/>
        <v>345170987</v>
      </c>
      <c r="U34" s="40">
        <f t="shared" si="7"/>
        <v>0.19585731977646476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923997215</v>
      </c>
      <c r="AA34" s="79">
        <f t="shared" si="11"/>
        <v>97767920</v>
      </c>
      <c r="AB34" s="79">
        <f t="shared" si="12"/>
        <v>1021765135</v>
      </c>
      <c r="AC34" s="40">
        <f t="shared" si="13"/>
        <v>0.5797711520352598</v>
      </c>
      <c r="AD34" s="78">
        <v>254213881</v>
      </c>
      <c r="AE34" s="79">
        <v>38215236</v>
      </c>
      <c r="AF34" s="79">
        <f t="shared" si="14"/>
        <v>292429117</v>
      </c>
      <c r="AG34" s="40">
        <f>IF(1514157637=0,0,892130404/1514157637)</f>
        <v>0.5891925531396967</v>
      </c>
      <c r="AH34" s="40">
        <f t="shared" si="15"/>
        <v>0.18035779248343453</v>
      </c>
      <c r="AI34" s="12">
        <v>1468238669</v>
      </c>
      <c r="AJ34" s="12">
        <v>1514157637</v>
      </c>
      <c r="AK34" s="12">
        <v>892130404</v>
      </c>
      <c r="AL34" s="12"/>
    </row>
    <row r="35" spans="1:38" s="13" customFormat="1" ht="12.75">
      <c r="A35" s="29" t="s">
        <v>95</v>
      </c>
      <c r="B35" s="61" t="s">
        <v>633</v>
      </c>
      <c r="C35" s="39" t="s">
        <v>634</v>
      </c>
      <c r="D35" s="78">
        <v>520822438</v>
      </c>
      <c r="E35" s="79">
        <v>60928000</v>
      </c>
      <c r="F35" s="80">
        <f t="shared" si="0"/>
        <v>581750438</v>
      </c>
      <c r="G35" s="78">
        <v>594940550</v>
      </c>
      <c r="H35" s="79">
        <v>39738000</v>
      </c>
      <c r="I35" s="81">
        <f t="shared" si="1"/>
        <v>634678550</v>
      </c>
      <c r="J35" s="78">
        <v>68687397</v>
      </c>
      <c r="K35" s="79">
        <v>1739852</v>
      </c>
      <c r="L35" s="79">
        <f t="shared" si="2"/>
        <v>70427249</v>
      </c>
      <c r="M35" s="40">
        <f t="shared" si="3"/>
        <v>0.12106092991029256</v>
      </c>
      <c r="N35" s="106">
        <v>163643420</v>
      </c>
      <c r="O35" s="107">
        <v>5946054</v>
      </c>
      <c r="P35" s="108">
        <f t="shared" si="4"/>
        <v>169589474</v>
      </c>
      <c r="Q35" s="40">
        <f t="shared" si="5"/>
        <v>0.2915158509945118</v>
      </c>
      <c r="R35" s="106">
        <v>126903115</v>
      </c>
      <c r="S35" s="108">
        <v>13611051</v>
      </c>
      <c r="T35" s="108">
        <f t="shared" si="6"/>
        <v>140514166</v>
      </c>
      <c r="U35" s="40">
        <f t="shared" si="7"/>
        <v>0.22139422547051574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359233932</v>
      </c>
      <c r="AA35" s="79">
        <f t="shared" si="11"/>
        <v>21296957</v>
      </c>
      <c r="AB35" s="79">
        <f t="shared" si="12"/>
        <v>380530889</v>
      </c>
      <c r="AC35" s="40">
        <f t="shared" si="13"/>
        <v>0.5995647544729533</v>
      </c>
      <c r="AD35" s="78">
        <v>127960201</v>
      </c>
      <c r="AE35" s="79">
        <v>3259866</v>
      </c>
      <c r="AF35" s="79">
        <f t="shared" si="14"/>
        <v>131220067</v>
      </c>
      <c r="AG35" s="40">
        <f>IF(523531238=0,0,387230643/523531238)</f>
        <v>0.7396514570540297</v>
      </c>
      <c r="AH35" s="40">
        <f t="shared" si="15"/>
        <v>0.07082833603491445</v>
      </c>
      <c r="AI35" s="12">
        <v>523531238</v>
      </c>
      <c r="AJ35" s="12">
        <v>523531238</v>
      </c>
      <c r="AK35" s="12">
        <v>387230643</v>
      </c>
      <c r="AL35" s="12"/>
    </row>
    <row r="36" spans="1:38" s="13" customFormat="1" ht="12.75">
      <c r="A36" s="29" t="s">
        <v>95</v>
      </c>
      <c r="B36" s="61" t="s">
        <v>635</v>
      </c>
      <c r="C36" s="39" t="s">
        <v>636</v>
      </c>
      <c r="D36" s="78">
        <v>534191711</v>
      </c>
      <c r="E36" s="79">
        <v>89870191</v>
      </c>
      <c r="F36" s="80">
        <f t="shared" si="0"/>
        <v>624061902</v>
      </c>
      <c r="G36" s="78">
        <v>552251791</v>
      </c>
      <c r="H36" s="79">
        <v>101363931</v>
      </c>
      <c r="I36" s="81">
        <f t="shared" si="1"/>
        <v>653615722</v>
      </c>
      <c r="J36" s="78">
        <v>128663879</v>
      </c>
      <c r="K36" s="79">
        <v>14738351</v>
      </c>
      <c r="L36" s="79">
        <f t="shared" si="2"/>
        <v>143402230</v>
      </c>
      <c r="M36" s="40">
        <f t="shared" si="3"/>
        <v>0.22978847056745982</v>
      </c>
      <c r="N36" s="106">
        <v>131297223</v>
      </c>
      <c r="O36" s="107">
        <v>19366685</v>
      </c>
      <c r="P36" s="108">
        <f t="shared" si="4"/>
        <v>150663908</v>
      </c>
      <c r="Q36" s="40">
        <f t="shared" si="5"/>
        <v>0.24142462072616636</v>
      </c>
      <c r="R36" s="106">
        <v>113012924</v>
      </c>
      <c r="S36" s="108">
        <v>10933459</v>
      </c>
      <c r="T36" s="108">
        <f t="shared" si="6"/>
        <v>123946383</v>
      </c>
      <c r="U36" s="40">
        <f t="shared" si="7"/>
        <v>0.1896318874043241</v>
      </c>
      <c r="V36" s="106">
        <v>0</v>
      </c>
      <c r="W36" s="108">
        <v>0</v>
      </c>
      <c r="X36" s="108">
        <f t="shared" si="8"/>
        <v>0</v>
      </c>
      <c r="Y36" s="40">
        <f t="shared" si="9"/>
        <v>0</v>
      </c>
      <c r="Z36" s="78">
        <f t="shared" si="10"/>
        <v>372974026</v>
      </c>
      <c r="AA36" s="79">
        <f t="shared" si="11"/>
        <v>45038495</v>
      </c>
      <c r="AB36" s="79">
        <f t="shared" si="12"/>
        <v>418012521</v>
      </c>
      <c r="AC36" s="40">
        <f t="shared" si="13"/>
        <v>0.639538656935795</v>
      </c>
      <c r="AD36" s="78">
        <v>112956866</v>
      </c>
      <c r="AE36" s="79">
        <v>13337476</v>
      </c>
      <c r="AF36" s="79">
        <f t="shared" si="14"/>
        <v>126294342</v>
      </c>
      <c r="AG36" s="40">
        <f>IF(566844642=0,0,321911156/566844642)</f>
        <v>0.5679001478503876</v>
      </c>
      <c r="AH36" s="40">
        <f t="shared" si="15"/>
        <v>-0.018591165390449582</v>
      </c>
      <c r="AI36" s="12">
        <v>506479321</v>
      </c>
      <c r="AJ36" s="12">
        <v>566844642</v>
      </c>
      <c r="AK36" s="12">
        <v>321911156</v>
      </c>
      <c r="AL36" s="12"/>
    </row>
    <row r="37" spans="1:38" s="13" customFormat="1" ht="12.75">
      <c r="A37" s="29" t="s">
        <v>95</v>
      </c>
      <c r="B37" s="61" t="s">
        <v>637</v>
      </c>
      <c r="C37" s="39" t="s">
        <v>638</v>
      </c>
      <c r="D37" s="78">
        <v>635833392</v>
      </c>
      <c r="E37" s="79">
        <v>102682600</v>
      </c>
      <c r="F37" s="80">
        <f t="shared" si="0"/>
        <v>738515992</v>
      </c>
      <c r="G37" s="78">
        <v>681666239</v>
      </c>
      <c r="H37" s="79">
        <v>107810333</v>
      </c>
      <c r="I37" s="81">
        <f t="shared" si="1"/>
        <v>789476572</v>
      </c>
      <c r="J37" s="78">
        <v>139268029</v>
      </c>
      <c r="K37" s="79">
        <v>18983393</v>
      </c>
      <c r="L37" s="79">
        <f t="shared" si="2"/>
        <v>158251422</v>
      </c>
      <c r="M37" s="40">
        <f t="shared" si="3"/>
        <v>0.2142829995751805</v>
      </c>
      <c r="N37" s="106">
        <v>130804644</v>
      </c>
      <c r="O37" s="107">
        <v>31834669</v>
      </c>
      <c r="P37" s="108">
        <f t="shared" si="4"/>
        <v>162639313</v>
      </c>
      <c r="Q37" s="40">
        <f t="shared" si="5"/>
        <v>0.22022449718326478</v>
      </c>
      <c r="R37" s="106">
        <v>140324944</v>
      </c>
      <c r="S37" s="108">
        <v>14801211</v>
      </c>
      <c r="T37" s="108">
        <f t="shared" si="6"/>
        <v>155126155</v>
      </c>
      <c r="U37" s="40">
        <f t="shared" si="7"/>
        <v>0.1964924109236265</v>
      </c>
      <c r="V37" s="106">
        <v>0</v>
      </c>
      <c r="W37" s="108">
        <v>0</v>
      </c>
      <c r="X37" s="108">
        <f t="shared" si="8"/>
        <v>0</v>
      </c>
      <c r="Y37" s="40">
        <f t="shared" si="9"/>
        <v>0</v>
      </c>
      <c r="Z37" s="78">
        <f t="shared" si="10"/>
        <v>410397617</v>
      </c>
      <c r="AA37" s="79">
        <f t="shared" si="11"/>
        <v>65619273</v>
      </c>
      <c r="AB37" s="79">
        <f t="shared" si="12"/>
        <v>476016890</v>
      </c>
      <c r="AC37" s="40">
        <f t="shared" si="13"/>
        <v>0.6029525218134022</v>
      </c>
      <c r="AD37" s="78">
        <v>123887697</v>
      </c>
      <c r="AE37" s="79">
        <v>9900574</v>
      </c>
      <c r="AF37" s="79">
        <f t="shared" si="14"/>
        <v>133788271</v>
      </c>
      <c r="AG37" s="40">
        <f>IF(702485954=0,0,415033773/702485954)</f>
        <v>0.5908072191860508</v>
      </c>
      <c r="AH37" s="40">
        <f t="shared" si="15"/>
        <v>0.15948994512381431</v>
      </c>
      <c r="AI37" s="12">
        <v>610921134</v>
      </c>
      <c r="AJ37" s="12">
        <v>702485954</v>
      </c>
      <c r="AK37" s="12">
        <v>415033773</v>
      </c>
      <c r="AL37" s="12"/>
    </row>
    <row r="38" spans="1:38" s="13" customFormat="1" ht="12.75">
      <c r="A38" s="29" t="s">
        <v>114</v>
      </c>
      <c r="B38" s="61" t="s">
        <v>639</v>
      </c>
      <c r="C38" s="39" t="s">
        <v>640</v>
      </c>
      <c r="D38" s="78">
        <v>346579082</v>
      </c>
      <c r="E38" s="79">
        <v>1035000</v>
      </c>
      <c r="F38" s="80">
        <f t="shared" si="0"/>
        <v>347614082</v>
      </c>
      <c r="G38" s="78">
        <v>367883805</v>
      </c>
      <c r="H38" s="79">
        <v>2290501</v>
      </c>
      <c r="I38" s="81">
        <f t="shared" si="1"/>
        <v>370174306</v>
      </c>
      <c r="J38" s="78">
        <v>33850119</v>
      </c>
      <c r="K38" s="79">
        <v>25240</v>
      </c>
      <c r="L38" s="79">
        <f t="shared" si="2"/>
        <v>33875359</v>
      </c>
      <c r="M38" s="40">
        <f t="shared" si="3"/>
        <v>0.09745105493165838</v>
      </c>
      <c r="N38" s="106">
        <v>43408974</v>
      </c>
      <c r="O38" s="107">
        <v>209432</v>
      </c>
      <c r="P38" s="108">
        <f t="shared" si="4"/>
        <v>43618406</v>
      </c>
      <c r="Q38" s="40">
        <f t="shared" si="5"/>
        <v>0.12547939873160835</v>
      </c>
      <c r="R38" s="106">
        <v>46651649</v>
      </c>
      <c r="S38" s="108">
        <v>374810</v>
      </c>
      <c r="T38" s="108">
        <f t="shared" si="6"/>
        <v>47026459</v>
      </c>
      <c r="U38" s="40">
        <f t="shared" si="7"/>
        <v>0.1270386902542069</v>
      </c>
      <c r="V38" s="106">
        <v>0</v>
      </c>
      <c r="W38" s="108">
        <v>0</v>
      </c>
      <c r="X38" s="108">
        <f t="shared" si="8"/>
        <v>0</v>
      </c>
      <c r="Y38" s="40">
        <f t="shared" si="9"/>
        <v>0</v>
      </c>
      <c r="Z38" s="78">
        <f t="shared" si="10"/>
        <v>123910742</v>
      </c>
      <c r="AA38" s="79">
        <f t="shared" si="11"/>
        <v>609482</v>
      </c>
      <c r="AB38" s="79">
        <f t="shared" si="12"/>
        <v>124520224</v>
      </c>
      <c r="AC38" s="40">
        <f t="shared" si="13"/>
        <v>0.3363826769759649</v>
      </c>
      <c r="AD38" s="78">
        <v>56663218</v>
      </c>
      <c r="AE38" s="79">
        <v>468699</v>
      </c>
      <c r="AF38" s="79">
        <f t="shared" si="14"/>
        <v>57131917</v>
      </c>
      <c r="AG38" s="40">
        <f>IF(334979617=0,0,126943624/334979617)</f>
        <v>0.3789592487354238</v>
      </c>
      <c r="AH38" s="40">
        <f t="shared" si="15"/>
        <v>-0.17687937899930783</v>
      </c>
      <c r="AI38" s="12">
        <v>314613037</v>
      </c>
      <c r="AJ38" s="12">
        <v>334979617</v>
      </c>
      <c r="AK38" s="12">
        <v>126943624</v>
      </c>
      <c r="AL38" s="12"/>
    </row>
    <row r="39" spans="1:38" s="57" customFormat="1" ht="12.75">
      <c r="A39" s="62"/>
      <c r="B39" s="63" t="s">
        <v>641</v>
      </c>
      <c r="C39" s="32"/>
      <c r="D39" s="82">
        <f>SUM(D31:D38)</f>
        <v>4791543281</v>
      </c>
      <c r="E39" s="83">
        <f>SUM(E31:E38)</f>
        <v>826505860</v>
      </c>
      <c r="F39" s="91">
        <f t="shared" si="0"/>
        <v>5618049141</v>
      </c>
      <c r="G39" s="82">
        <f>SUM(G31:G38)</f>
        <v>5060710137</v>
      </c>
      <c r="H39" s="83">
        <f>SUM(H31:H38)</f>
        <v>819043047</v>
      </c>
      <c r="I39" s="84">
        <f t="shared" si="1"/>
        <v>5879753184</v>
      </c>
      <c r="J39" s="82">
        <f>SUM(J31:J38)</f>
        <v>865511308</v>
      </c>
      <c r="K39" s="83">
        <f>SUM(K31:K38)</f>
        <v>83538010</v>
      </c>
      <c r="L39" s="83">
        <f t="shared" si="2"/>
        <v>949049318</v>
      </c>
      <c r="M39" s="44">
        <f t="shared" si="3"/>
        <v>0.1689286252542589</v>
      </c>
      <c r="N39" s="112">
        <f>SUM(N31:N38)</f>
        <v>1126168094</v>
      </c>
      <c r="O39" s="113">
        <f>SUM(O31:O38)</f>
        <v>145467880</v>
      </c>
      <c r="P39" s="114">
        <f t="shared" si="4"/>
        <v>1271635974</v>
      </c>
      <c r="Q39" s="44">
        <f t="shared" si="5"/>
        <v>0.2263483180878072</v>
      </c>
      <c r="R39" s="112">
        <f>SUM(R31:R38)</f>
        <v>994435088</v>
      </c>
      <c r="S39" s="114">
        <f>SUM(S31:S38)</f>
        <v>126145160</v>
      </c>
      <c r="T39" s="114">
        <f t="shared" si="6"/>
        <v>1120580248</v>
      </c>
      <c r="U39" s="44">
        <f t="shared" si="7"/>
        <v>0.19058287192212864</v>
      </c>
      <c r="V39" s="112">
        <f>SUM(V31:V38)</f>
        <v>0</v>
      </c>
      <c r="W39" s="114">
        <f>SUM(W31:W38)</f>
        <v>0</v>
      </c>
      <c r="X39" s="114">
        <f t="shared" si="8"/>
        <v>0</v>
      </c>
      <c r="Y39" s="44">
        <f t="shared" si="9"/>
        <v>0</v>
      </c>
      <c r="Z39" s="82">
        <f t="shared" si="10"/>
        <v>2986114490</v>
      </c>
      <c r="AA39" s="83">
        <f t="shared" si="11"/>
        <v>355151050</v>
      </c>
      <c r="AB39" s="83">
        <f t="shared" si="12"/>
        <v>3341265540</v>
      </c>
      <c r="AC39" s="44">
        <f t="shared" si="13"/>
        <v>0.5682662920430505</v>
      </c>
      <c r="AD39" s="82">
        <f>SUM(AD31:AD38)</f>
        <v>955373947</v>
      </c>
      <c r="AE39" s="83">
        <f>SUM(AE31:AE38)</f>
        <v>99335580</v>
      </c>
      <c r="AF39" s="83">
        <f t="shared" si="14"/>
        <v>1054709527</v>
      </c>
      <c r="AG39" s="44">
        <f>IF(334979617=0,0,126943624/334979617)</f>
        <v>0.3789592487354238</v>
      </c>
      <c r="AH39" s="44">
        <f t="shared" si="15"/>
        <v>0.062453897792467794</v>
      </c>
      <c r="AI39" s="64">
        <f>SUM(AI31:AI38)</f>
        <v>4850032378</v>
      </c>
      <c r="AJ39" s="64">
        <f>SUM(AJ31:AJ38)</f>
        <v>5112404171</v>
      </c>
      <c r="AK39" s="64">
        <f>SUM(AK31:AK38)</f>
        <v>3023300594</v>
      </c>
      <c r="AL39" s="64"/>
    </row>
    <row r="40" spans="1:38" s="13" customFormat="1" ht="12.75">
      <c r="A40" s="29" t="s">
        <v>95</v>
      </c>
      <c r="B40" s="61" t="s">
        <v>642</v>
      </c>
      <c r="C40" s="39" t="s">
        <v>643</v>
      </c>
      <c r="D40" s="78">
        <v>77535900</v>
      </c>
      <c r="E40" s="79">
        <v>26182000</v>
      </c>
      <c r="F40" s="80">
        <f t="shared" si="0"/>
        <v>103717900</v>
      </c>
      <c r="G40" s="78">
        <v>85650024</v>
      </c>
      <c r="H40" s="79">
        <v>36195715</v>
      </c>
      <c r="I40" s="81">
        <f t="shared" si="1"/>
        <v>121845739</v>
      </c>
      <c r="J40" s="78">
        <v>17556491</v>
      </c>
      <c r="K40" s="79">
        <v>2339383</v>
      </c>
      <c r="L40" s="79">
        <f t="shared" si="2"/>
        <v>19895874</v>
      </c>
      <c r="M40" s="40">
        <f t="shared" si="3"/>
        <v>0.19182681099405213</v>
      </c>
      <c r="N40" s="106">
        <v>20302009</v>
      </c>
      <c r="O40" s="107">
        <v>6157415</v>
      </c>
      <c r="P40" s="108">
        <f t="shared" si="4"/>
        <v>26459424</v>
      </c>
      <c r="Q40" s="40">
        <f t="shared" si="5"/>
        <v>0.25510952304279205</v>
      </c>
      <c r="R40" s="106">
        <v>18672355</v>
      </c>
      <c r="S40" s="108">
        <v>10674219</v>
      </c>
      <c r="T40" s="108">
        <f t="shared" si="6"/>
        <v>29346574</v>
      </c>
      <c r="U40" s="40">
        <f t="shared" si="7"/>
        <v>0.24085022784424165</v>
      </c>
      <c r="V40" s="106">
        <v>0</v>
      </c>
      <c r="W40" s="108">
        <v>0</v>
      </c>
      <c r="X40" s="108">
        <f t="shared" si="8"/>
        <v>0</v>
      </c>
      <c r="Y40" s="40">
        <f t="shared" si="9"/>
        <v>0</v>
      </c>
      <c r="Z40" s="78">
        <f t="shared" si="10"/>
        <v>56530855</v>
      </c>
      <c r="AA40" s="79">
        <f t="shared" si="11"/>
        <v>19171017</v>
      </c>
      <c r="AB40" s="79">
        <f t="shared" si="12"/>
        <v>75701872</v>
      </c>
      <c r="AC40" s="40">
        <f t="shared" si="13"/>
        <v>0.621292731459407</v>
      </c>
      <c r="AD40" s="78">
        <v>11515917</v>
      </c>
      <c r="AE40" s="79">
        <v>1576791</v>
      </c>
      <c r="AF40" s="79">
        <f t="shared" si="14"/>
        <v>13092708</v>
      </c>
      <c r="AG40" s="40">
        <f>IF(95019919=0,0,51337986/95019919)</f>
        <v>0.5402865687561784</v>
      </c>
      <c r="AH40" s="40">
        <f t="shared" si="15"/>
        <v>1.2414441687693638</v>
      </c>
      <c r="AI40" s="12">
        <v>62931400</v>
      </c>
      <c r="AJ40" s="12">
        <v>95019919</v>
      </c>
      <c r="AK40" s="12">
        <v>51337986</v>
      </c>
      <c r="AL40" s="12"/>
    </row>
    <row r="41" spans="1:38" s="13" customFormat="1" ht="12.75">
      <c r="A41" s="29" t="s">
        <v>95</v>
      </c>
      <c r="B41" s="61" t="s">
        <v>644</v>
      </c>
      <c r="C41" s="39" t="s">
        <v>645</v>
      </c>
      <c r="D41" s="78">
        <v>53778701</v>
      </c>
      <c r="E41" s="79">
        <v>10292700</v>
      </c>
      <c r="F41" s="80">
        <f t="shared" si="0"/>
        <v>64071401</v>
      </c>
      <c r="G41" s="78">
        <v>58408413</v>
      </c>
      <c r="H41" s="79">
        <v>31777579</v>
      </c>
      <c r="I41" s="81">
        <f t="shared" si="1"/>
        <v>90185992</v>
      </c>
      <c r="J41" s="78">
        <v>10969738</v>
      </c>
      <c r="K41" s="79">
        <v>1924904</v>
      </c>
      <c r="L41" s="79">
        <f t="shared" si="2"/>
        <v>12894642</v>
      </c>
      <c r="M41" s="40">
        <f t="shared" si="3"/>
        <v>0.2012542538284749</v>
      </c>
      <c r="N41" s="106">
        <v>12533243</v>
      </c>
      <c r="O41" s="107">
        <v>549873</v>
      </c>
      <c r="P41" s="108">
        <f t="shared" si="4"/>
        <v>13083116</v>
      </c>
      <c r="Q41" s="40">
        <f t="shared" si="5"/>
        <v>0.20419587828273023</v>
      </c>
      <c r="R41" s="106">
        <v>6676531</v>
      </c>
      <c r="S41" s="108">
        <v>2902557</v>
      </c>
      <c r="T41" s="108">
        <f t="shared" si="6"/>
        <v>9579088</v>
      </c>
      <c r="U41" s="40">
        <f t="shared" si="7"/>
        <v>0.10621480994520746</v>
      </c>
      <c r="V41" s="106">
        <v>0</v>
      </c>
      <c r="W41" s="108">
        <v>0</v>
      </c>
      <c r="X41" s="108">
        <f t="shared" si="8"/>
        <v>0</v>
      </c>
      <c r="Y41" s="40">
        <f t="shared" si="9"/>
        <v>0</v>
      </c>
      <c r="Z41" s="78">
        <f t="shared" si="10"/>
        <v>30179512</v>
      </c>
      <c r="AA41" s="79">
        <f t="shared" si="11"/>
        <v>5377334</v>
      </c>
      <c r="AB41" s="79">
        <f t="shared" si="12"/>
        <v>35556846</v>
      </c>
      <c r="AC41" s="40">
        <f t="shared" si="13"/>
        <v>0.394261295035708</v>
      </c>
      <c r="AD41" s="78">
        <v>11041718</v>
      </c>
      <c r="AE41" s="79">
        <v>15228182</v>
      </c>
      <c r="AF41" s="79">
        <f t="shared" si="14"/>
        <v>26269900</v>
      </c>
      <c r="AG41" s="40">
        <f>IF(106315535=0,0,91448070/106315535)</f>
        <v>0.8601571727029357</v>
      </c>
      <c r="AH41" s="40">
        <f t="shared" si="15"/>
        <v>-0.6353587946661388</v>
      </c>
      <c r="AI41" s="12">
        <v>69373408</v>
      </c>
      <c r="AJ41" s="12">
        <v>106315535</v>
      </c>
      <c r="AK41" s="12">
        <v>91448070</v>
      </c>
      <c r="AL41" s="12"/>
    </row>
    <row r="42" spans="1:38" s="13" customFormat="1" ht="12.75">
      <c r="A42" s="29" t="s">
        <v>95</v>
      </c>
      <c r="B42" s="61" t="s">
        <v>646</v>
      </c>
      <c r="C42" s="39" t="s">
        <v>647</v>
      </c>
      <c r="D42" s="78">
        <v>268714899</v>
      </c>
      <c r="E42" s="79">
        <v>20024200</v>
      </c>
      <c r="F42" s="80">
        <f t="shared" si="0"/>
        <v>288739099</v>
      </c>
      <c r="G42" s="78">
        <v>298155049</v>
      </c>
      <c r="H42" s="79">
        <v>34428829</v>
      </c>
      <c r="I42" s="81">
        <f t="shared" si="1"/>
        <v>332583878</v>
      </c>
      <c r="J42" s="78">
        <v>49900409</v>
      </c>
      <c r="K42" s="79">
        <v>4291392</v>
      </c>
      <c r="L42" s="79">
        <f t="shared" si="2"/>
        <v>54191801</v>
      </c>
      <c r="M42" s="40">
        <f t="shared" si="3"/>
        <v>0.18768431843032107</v>
      </c>
      <c r="N42" s="106">
        <v>73831318</v>
      </c>
      <c r="O42" s="107">
        <v>3404092</v>
      </c>
      <c r="P42" s="108">
        <f t="shared" si="4"/>
        <v>77235410</v>
      </c>
      <c r="Q42" s="40">
        <f t="shared" si="5"/>
        <v>0.2674920378552542</v>
      </c>
      <c r="R42" s="106">
        <v>62293354</v>
      </c>
      <c r="S42" s="108">
        <v>5374676</v>
      </c>
      <c r="T42" s="108">
        <f t="shared" si="6"/>
        <v>67668030</v>
      </c>
      <c r="U42" s="40">
        <f t="shared" si="7"/>
        <v>0.20346154602238417</v>
      </c>
      <c r="V42" s="106">
        <v>0</v>
      </c>
      <c r="W42" s="108">
        <v>0</v>
      </c>
      <c r="X42" s="108">
        <f t="shared" si="8"/>
        <v>0</v>
      </c>
      <c r="Y42" s="40">
        <f t="shared" si="9"/>
        <v>0</v>
      </c>
      <c r="Z42" s="78">
        <f t="shared" si="10"/>
        <v>186025081</v>
      </c>
      <c r="AA42" s="79">
        <f t="shared" si="11"/>
        <v>13070160</v>
      </c>
      <c r="AB42" s="79">
        <f t="shared" si="12"/>
        <v>199095241</v>
      </c>
      <c r="AC42" s="40">
        <f t="shared" si="13"/>
        <v>0.5986316660845479</v>
      </c>
      <c r="AD42" s="78">
        <v>50910152</v>
      </c>
      <c r="AE42" s="79">
        <v>8141992</v>
      </c>
      <c r="AF42" s="79">
        <f t="shared" si="14"/>
        <v>59052144</v>
      </c>
      <c r="AG42" s="40">
        <f>IF(308380031=0,0,181278412/308380031)</f>
        <v>0.5878409552400622</v>
      </c>
      <c r="AH42" s="40">
        <f t="shared" si="15"/>
        <v>0.1459030175094067</v>
      </c>
      <c r="AI42" s="12">
        <v>274930359</v>
      </c>
      <c r="AJ42" s="12">
        <v>308380031</v>
      </c>
      <c r="AK42" s="12">
        <v>181278412</v>
      </c>
      <c r="AL42" s="12"/>
    </row>
    <row r="43" spans="1:38" s="13" customFormat="1" ht="12.75">
      <c r="A43" s="29" t="s">
        <v>114</v>
      </c>
      <c r="B43" s="61" t="s">
        <v>648</v>
      </c>
      <c r="C43" s="39" t="s">
        <v>649</v>
      </c>
      <c r="D43" s="78">
        <v>78201814</v>
      </c>
      <c r="E43" s="79">
        <v>295000</v>
      </c>
      <c r="F43" s="81">
        <f t="shared" si="0"/>
        <v>78496814</v>
      </c>
      <c r="G43" s="78">
        <v>86086513</v>
      </c>
      <c r="H43" s="79">
        <v>115000</v>
      </c>
      <c r="I43" s="80">
        <f t="shared" si="1"/>
        <v>86201513</v>
      </c>
      <c r="J43" s="78">
        <v>14903528</v>
      </c>
      <c r="K43" s="92">
        <v>10953</v>
      </c>
      <c r="L43" s="79">
        <f t="shared" si="2"/>
        <v>14914481</v>
      </c>
      <c r="M43" s="40">
        <f t="shared" si="3"/>
        <v>0.1900010999172527</v>
      </c>
      <c r="N43" s="106">
        <v>21079848</v>
      </c>
      <c r="O43" s="107">
        <v>44535</v>
      </c>
      <c r="P43" s="108">
        <f t="shared" si="4"/>
        <v>21124383</v>
      </c>
      <c r="Q43" s="40">
        <f t="shared" si="5"/>
        <v>0.26911134253168545</v>
      </c>
      <c r="R43" s="106">
        <v>25450973</v>
      </c>
      <c r="S43" s="108">
        <v>0</v>
      </c>
      <c r="T43" s="108">
        <f t="shared" si="6"/>
        <v>25450973</v>
      </c>
      <c r="U43" s="40">
        <f t="shared" si="7"/>
        <v>0.29524972490912077</v>
      </c>
      <c r="V43" s="106">
        <v>0</v>
      </c>
      <c r="W43" s="108">
        <v>0</v>
      </c>
      <c r="X43" s="108">
        <f t="shared" si="8"/>
        <v>0</v>
      </c>
      <c r="Y43" s="40">
        <f t="shared" si="9"/>
        <v>0</v>
      </c>
      <c r="Z43" s="78">
        <f t="shared" si="10"/>
        <v>61434349</v>
      </c>
      <c r="AA43" s="79">
        <f t="shared" si="11"/>
        <v>55488</v>
      </c>
      <c r="AB43" s="79">
        <f t="shared" si="12"/>
        <v>61489837</v>
      </c>
      <c r="AC43" s="40">
        <f t="shared" si="13"/>
        <v>0.7133266558789984</v>
      </c>
      <c r="AD43" s="78">
        <v>22632204</v>
      </c>
      <c r="AE43" s="79">
        <v>60048</v>
      </c>
      <c r="AF43" s="79">
        <f t="shared" si="14"/>
        <v>22692252</v>
      </c>
      <c r="AG43" s="40">
        <f>IF(83301852=0,0,51340931/83301852)</f>
        <v>0.6163240044170927</v>
      </c>
      <c r="AH43" s="40">
        <f t="shared" si="15"/>
        <v>0.1215710542964179</v>
      </c>
      <c r="AI43" s="12">
        <v>56531377</v>
      </c>
      <c r="AJ43" s="12">
        <v>83301852</v>
      </c>
      <c r="AK43" s="12">
        <v>51340931</v>
      </c>
      <c r="AL43" s="12"/>
    </row>
    <row r="44" spans="1:38" s="57" customFormat="1" ht="12.75">
      <c r="A44" s="62"/>
      <c r="B44" s="63" t="s">
        <v>650</v>
      </c>
      <c r="C44" s="32"/>
      <c r="D44" s="82">
        <f>SUM(D40:D43)</f>
        <v>478231314</v>
      </c>
      <c r="E44" s="83">
        <f>SUM(E40:E43)</f>
        <v>56793900</v>
      </c>
      <c r="F44" s="84">
        <f t="shared" si="0"/>
        <v>535025214</v>
      </c>
      <c r="G44" s="82">
        <f>SUM(G40:G43)</f>
        <v>528299999</v>
      </c>
      <c r="H44" s="83">
        <f>SUM(H40:H43)</f>
        <v>102517123</v>
      </c>
      <c r="I44" s="91">
        <f t="shared" si="1"/>
        <v>630817122</v>
      </c>
      <c r="J44" s="82">
        <f>SUM(J40:J43)</f>
        <v>93330166</v>
      </c>
      <c r="K44" s="93">
        <f>SUM(K40:K43)</f>
        <v>8566632</v>
      </c>
      <c r="L44" s="83">
        <f t="shared" si="2"/>
        <v>101896798</v>
      </c>
      <c r="M44" s="44">
        <f t="shared" si="3"/>
        <v>0.1904523288504306</v>
      </c>
      <c r="N44" s="112">
        <f>SUM(N40:N43)</f>
        <v>127746418</v>
      </c>
      <c r="O44" s="113">
        <f>SUM(O40:O43)</f>
        <v>10155915</v>
      </c>
      <c r="P44" s="114">
        <f t="shared" si="4"/>
        <v>137902333</v>
      </c>
      <c r="Q44" s="44">
        <f t="shared" si="5"/>
        <v>0.2577492226375709</v>
      </c>
      <c r="R44" s="112">
        <f>SUM(R40:R43)</f>
        <v>113093213</v>
      </c>
      <c r="S44" s="114">
        <f>SUM(S40:S43)</f>
        <v>18951452</v>
      </c>
      <c r="T44" s="114">
        <f t="shared" si="6"/>
        <v>132044665</v>
      </c>
      <c r="U44" s="44">
        <f t="shared" si="7"/>
        <v>0.20932321015852198</v>
      </c>
      <c r="V44" s="112">
        <f>SUM(V40:V43)</f>
        <v>0</v>
      </c>
      <c r="W44" s="114">
        <f>SUM(W40:W43)</f>
        <v>0</v>
      </c>
      <c r="X44" s="114">
        <f t="shared" si="8"/>
        <v>0</v>
      </c>
      <c r="Y44" s="44">
        <f t="shared" si="9"/>
        <v>0</v>
      </c>
      <c r="Z44" s="82">
        <f t="shared" si="10"/>
        <v>334169797</v>
      </c>
      <c r="AA44" s="83">
        <f t="shared" si="11"/>
        <v>37673999</v>
      </c>
      <c r="AB44" s="83">
        <f t="shared" si="12"/>
        <v>371843796</v>
      </c>
      <c r="AC44" s="44">
        <f t="shared" si="13"/>
        <v>0.5894637019697129</v>
      </c>
      <c r="AD44" s="82">
        <f>SUM(AD40:AD43)</f>
        <v>96099991</v>
      </c>
      <c r="AE44" s="83">
        <f>SUM(AE40:AE43)</f>
        <v>25007013</v>
      </c>
      <c r="AF44" s="83">
        <f t="shared" si="14"/>
        <v>121107004</v>
      </c>
      <c r="AG44" s="44">
        <f>IF(83301852=0,0,51340931/83301852)</f>
        <v>0.6163240044170927</v>
      </c>
      <c r="AH44" s="44">
        <f t="shared" si="15"/>
        <v>0.09031402510791198</v>
      </c>
      <c r="AI44" s="64">
        <f>SUM(AI40:AI43)</f>
        <v>463766544</v>
      </c>
      <c r="AJ44" s="64">
        <f>SUM(AJ40:AJ43)</f>
        <v>593017337</v>
      </c>
      <c r="AK44" s="64">
        <f>SUM(AK40:AK43)</f>
        <v>375405399</v>
      </c>
      <c r="AL44" s="64"/>
    </row>
    <row r="45" spans="1:38" s="57" customFormat="1" ht="12.75">
      <c r="A45" s="62"/>
      <c r="B45" s="63" t="s">
        <v>651</v>
      </c>
      <c r="C45" s="32"/>
      <c r="D45" s="82">
        <f>SUM(D9,D11:D16,D18:D23,D25:D29,D31:D38,D40:D43)</f>
        <v>47070715311</v>
      </c>
      <c r="E45" s="83">
        <f>SUM(E9,E11:E16,E18:E23,E25:E29,E31:E38,E40:E43)</f>
        <v>8442519561</v>
      </c>
      <c r="F45" s="84">
        <f t="shared" si="0"/>
        <v>55513234872</v>
      </c>
      <c r="G45" s="82">
        <f>SUM(G9,G11:G16,G18:G23,G25:G29,G31:G38,G40:G43)</f>
        <v>48209495645</v>
      </c>
      <c r="H45" s="83">
        <f>SUM(H9,H11:H16,H18:H23,H25:H29,H31:H38,H40:H43)</f>
        <v>9075099209</v>
      </c>
      <c r="I45" s="91">
        <f t="shared" si="1"/>
        <v>57284594854</v>
      </c>
      <c r="J45" s="82">
        <f>SUM(J9,J11:J16,J18:J23,J25:J29,J31:J38,J40:J43)</f>
        <v>9690234402</v>
      </c>
      <c r="K45" s="93">
        <f>SUM(K9,K11:K16,K18:K23,K25:K29,K31:K38,K40:K43)</f>
        <v>1020337121</v>
      </c>
      <c r="L45" s="83">
        <f t="shared" si="2"/>
        <v>10710571523</v>
      </c>
      <c r="M45" s="44">
        <f t="shared" si="3"/>
        <v>0.19293726167635464</v>
      </c>
      <c r="N45" s="112">
        <f>SUM(N9,N11:N16,N18:N23,N25:N29,N31:N38,N40:N43)</f>
        <v>11196303089</v>
      </c>
      <c r="O45" s="113">
        <f>SUM(O9,O11:O16,O18:O23,O25:O29,O31:O38,O40:O43)</f>
        <v>1636085434</v>
      </c>
      <c r="P45" s="114">
        <f t="shared" si="4"/>
        <v>12832388523</v>
      </c>
      <c r="Q45" s="44">
        <f t="shared" si="5"/>
        <v>0.23115908400201074</v>
      </c>
      <c r="R45" s="112">
        <f>SUM(R9,R11:R16,R18:R23,R25:R29,R31:R38,R40:R43)</f>
        <v>10083330781</v>
      </c>
      <c r="S45" s="114">
        <f>SUM(S9,S11:S16,S18:S23,S25:S29,S31:S38,S40:S43)</f>
        <v>1279213485</v>
      </c>
      <c r="T45" s="114">
        <f t="shared" si="6"/>
        <v>11362544266</v>
      </c>
      <c r="U45" s="44">
        <f t="shared" si="7"/>
        <v>0.19835252906928066</v>
      </c>
      <c r="V45" s="112">
        <f>SUM(V9,V11:V16,V18:V23,V25:V29,V31:V38,V40:V43)</f>
        <v>0</v>
      </c>
      <c r="W45" s="114">
        <f>SUM(W9,W11:W16,W18:W23,W25:W29,W31:W38,W40:W43)</f>
        <v>0</v>
      </c>
      <c r="X45" s="114">
        <f t="shared" si="8"/>
        <v>0</v>
      </c>
      <c r="Y45" s="44">
        <f t="shared" si="9"/>
        <v>0</v>
      </c>
      <c r="Z45" s="82">
        <f t="shared" si="10"/>
        <v>30969868272</v>
      </c>
      <c r="AA45" s="83">
        <f t="shared" si="11"/>
        <v>3935636040</v>
      </c>
      <c r="AB45" s="83">
        <f t="shared" si="12"/>
        <v>34905504312</v>
      </c>
      <c r="AC45" s="44">
        <f t="shared" si="13"/>
        <v>0.609334925052065</v>
      </c>
      <c r="AD45" s="82">
        <f>SUM(AD9,AD11:AD16,AD18:AD23,AD25:AD29,AD31:AD38,AD40:AD43)</f>
        <v>9197093604</v>
      </c>
      <c r="AE45" s="83">
        <f>SUM(AE9,AE11:AE16,AE18:AE23,AE25:AE29,AE31:AE38,AE40:AE43)</f>
        <v>1082245496</v>
      </c>
      <c r="AF45" s="83">
        <f t="shared" si="14"/>
        <v>10279339100</v>
      </c>
      <c r="AG45" s="44">
        <f>IF(83301852=0,0,51340931/83301852)</f>
        <v>0.6163240044170927</v>
      </c>
      <c r="AH45" s="44">
        <f t="shared" si="15"/>
        <v>0.1053769270049667</v>
      </c>
      <c r="AI45" s="64">
        <f>SUM(AI9,AI11:AI16,AI18:AI23,AI25:AI29,AI31:AI38,AI40:AI43)</f>
        <v>50148555272</v>
      </c>
      <c r="AJ45" s="64">
        <f>SUM(AJ9,AJ11:AJ16,AJ18:AJ23,AJ25:AJ29,AJ31:AJ38,AJ40:AJ43)</f>
        <v>51707718167</v>
      </c>
      <c r="AK45" s="64">
        <f>SUM(AK9,AK11:AK16,AK18:AK23,AK25:AK29,AK31:AK38,AK40:AK43)</f>
        <v>31399804664</v>
      </c>
      <c r="AL45" s="64"/>
    </row>
    <row r="46" spans="1:38" s="13" customFormat="1" ht="12.75">
      <c r="A46" s="65"/>
      <c r="B46" s="66"/>
      <c r="C46" s="67"/>
      <c r="D46" s="94"/>
      <c r="E46" s="94"/>
      <c r="F46" s="95"/>
      <c r="G46" s="96"/>
      <c r="H46" s="94"/>
      <c r="I46" s="97"/>
      <c r="J46" s="96"/>
      <c r="K46" s="98"/>
      <c r="L46" s="94"/>
      <c r="M46" s="71"/>
      <c r="N46" s="96"/>
      <c r="O46" s="98"/>
      <c r="P46" s="94"/>
      <c r="Q46" s="71"/>
      <c r="R46" s="96"/>
      <c r="S46" s="98"/>
      <c r="T46" s="94"/>
      <c r="U46" s="71"/>
      <c r="V46" s="96"/>
      <c r="W46" s="98"/>
      <c r="X46" s="94"/>
      <c r="Y46" s="71"/>
      <c r="Z46" s="96"/>
      <c r="AA46" s="98"/>
      <c r="AB46" s="94"/>
      <c r="AC46" s="71"/>
      <c r="AD46" s="96"/>
      <c r="AE46" s="94"/>
      <c r="AF46" s="94"/>
      <c r="AG46" s="71"/>
      <c r="AH46" s="71"/>
      <c r="AI46" s="12"/>
      <c r="AJ46" s="12"/>
      <c r="AK46" s="12"/>
      <c r="AL46" s="12"/>
    </row>
    <row r="47" spans="1:38" s="13" customFormat="1" ht="12.75">
      <c r="A47" s="12"/>
      <c r="B47" s="12"/>
      <c r="C47" s="12"/>
      <c r="D47" s="89"/>
      <c r="E47" s="89"/>
      <c r="F47" s="89"/>
      <c r="G47" s="89"/>
      <c r="H47" s="89"/>
      <c r="I47" s="89"/>
      <c r="J47" s="89"/>
      <c r="K47" s="89"/>
      <c r="L47" s="89"/>
      <c r="M47" s="12"/>
      <c r="N47" s="89"/>
      <c r="O47" s="89"/>
      <c r="P47" s="89"/>
      <c r="Q47" s="12"/>
      <c r="R47" s="89"/>
      <c r="S47" s="89"/>
      <c r="T47" s="89"/>
      <c r="U47" s="12"/>
      <c r="V47" s="89"/>
      <c r="W47" s="89"/>
      <c r="X47" s="89"/>
      <c r="Y47" s="12"/>
      <c r="Z47" s="89"/>
      <c r="AA47" s="89"/>
      <c r="AB47" s="89"/>
      <c r="AC47" s="12"/>
      <c r="AD47" s="89"/>
      <c r="AE47" s="89"/>
      <c r="AF47" s="89"/>
      <c r="AG47" s="12"/>
      <c r="AH47" s="12"/>
      <c r="AI47" s="12"/>
      <c r="AJ47" s="12"/>
      <c r="AK47" s="12"/>
      <c r="AL47" s="12"/>
    </row>
    <row r="48" spans="1:38" s="13" customFormat="1" ht="12.75">
      <c r="A48" s="12"/>
      <c r="B48" s="12"/>
      <c r="C48" s="12"/>
      <c r="D48" s="89"/>
      <c r="E48" s="89"/>
      <c r="F48" s="89"/>
      <c r="G48" s="89"/>
      <c r="H48" s="89"/>
      <c r="I48" s="89"/>
      <c r="J48" s="89"/>
      <c r="K48" s="89"/>
      <c r="L48" s="89"/>
      <c r="M48" s="12"/>
      <c r="N48" s="89"/>
      <c r="O48" s="89"/>
      <c r="P48" s="89"/>
      <c r="Q48" s="12"/>
      <c r="R48" s="89"/>
      <c r="S48" s="89"/>
      <c r="T48" s="89"/>
      <c r="U48" s="12"/>
      <c r="V48" s="89"/>
      <c r="W48" s="89"/>
      <c r="X48" s="89"/>
      <c r="Y48" s="12"/>
      <c r="Z48" s="89"/>
      <c r="AA48" s="89"/>
      <c r="AB48" s="89"/>
      <c r="AC48" s="12"/>
      <c r="AD48" s="89"/>
      <c r="AE48" s="89"/>
      <c r="AF48" s="89"/>
      <c r="AG48" s="12"/>
      <c r="AH48" s="12"/>
      <c r="AI48" s="12"/>
      <c r="AJ48" s="12"/>
      <c r="AK48" s="12"/>
      <c r="AL48" s="12"/>
    </row>
    <row r="49" spans="1:38" s="13" customFormat="1" ht="12.75">
      <c r="A49" s="12"/>
      <c r="B49" s="12"/>
      <c r="C49" s="12"/>
      <c r="D49" s="89"/>
      <c r="E49" s="89"/>
      <c r="F49" s="89"/>
      <c r="G49" s="89"/>
      <c r="H49" s="89"/>
      <c r="I49" s="89"/>
      <c r="J49" s="89"/>
      <c r="K49" s="89"/>
      <c r="L49" s="89"/>
      <c r="M49" s="12"/>
      <c r="N49" s="89"/>
      <c r="O49" s="89"/>
      <c r="P49" s="89"/>
      <c r="Q49" s="12"/>
      <c r="R49" s="89"/>
      <c r="S49" s="89"/>
      <c r="T49" s="89"/>
      <c r="U49" s="12"/>
      <c r="V49" s="89"/>
      <c r="W49" s="89"/>
      <c r="X49" s="89"/>
      <c r="Y49" s="12"/>
      <c r="Z49" s="89"/>
      <c r="AA49" s="89"/>
      <c r="AB49" s="89"/>
      <c r="AC49" s="12"/>
      <c r="AD49" s="89"/>
      <c r="AE49" s="89"/>
      <c r="AF49" s="89"/>
      <c r="AG49" s="12"/>
      <c r="AH49" s="12"/>
      <c r="AI49" s="12"/>
      <c r="AJ49" s="12"/>
      <c r="AK49" s="12"/>
      <c r="AL49" s="1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136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13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8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 customHeight="1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5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132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33" t="s">
        <v>38</v>
      </c>
      <c r="C7" s="132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132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39</v>
      </c>
      <c r="C9" s="133" t="s">
        <v>40</v>
      </c>
      <c r="D9" s="78">
        <v>5718685322</v>
      </c>
      <c r="E9" s="79">
        <v>1275354230</v>
      </c>
      <c r="F9" s="80">
        <f>$D9+$E9</f>
        <v>6994039552</v>
      </c>
      <c r="G9" s="78">
        <v>5723893865</v>
      </c>
      <c r="H9" s="79">
        <v>1380149467</v>
      </c>
      <c r="I9" s="81">
        <f>$G9+$H9</f>
        <v>7104043332</v>
      </c>
      <c r="J9" s="78">
        <v>1270254181</v>
      </c>
      <c r="K9" s="79">
        <v>99583135</v>
      </c>
      <c r="L9" s="79">
        <f>$J9+$K9</f>
        <v>1369837316</v>
      </c>
      <c r="M9" s="40">
        <f>IF($F9=0,0,$L9/$F9)</f>
        <v>0.19585781661876425</v>
      </c>
      <c r="N9" s="106">
        <v>1301395127</v>
      </c>
      <c r="O9" s="107">
        <v>298378641</v>
      </c>
      <c r="P9" s="108">
        <f>$N9+$O9</f>
        <v>1599773768</v>
      </c>
      <c r="Q9" s="40">
        <f>IF($F9=0,0,$P9/$F9)</f>
        <v>0.2287338749096053</v>
      </c>
      <c r="R9" s="106">
        <v>1309166210</v>
      </c>
      <c r="S9" s="108">
        <v>229470444</v>
      </c>
      <c r="T9" s="108">
        <f>$R9+$S9</f>
        <v>1538636654</v>
      </c>
      <c r="U9" s="40">
        <f>IF($I9=0,0,$T9/$I9)</f>
        <v>0.21658604573387757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3880815518</v>
      </c>
      <c r="AA9" s="79">
        <f>$K9+$O9+$S9</f>
        <v>627432220</v>
      </c>
      <c r="AB9" s="79">
        <f>$Z9+$AA9</f>
        <v>4508247738</v>
      </c>
      <c r="AC9" s="40">
        <f>IF($I9=0,0,$AB9/$I9)</f>
        <v>0.6346030742369915</v>
      </c>
      <c r="AD9" s="78">
        <v>1122102957</v>
      </c>
      <c r="AE9" s="79">
        <v>181562771</v>
      </c>
      <c r="AF9" s="79">
        <f>$AD9+$AE9</f>
        <v>1303665728</v>
      </c>
      <c r="AG9" s="40">
        <f>IF(6059174220=0,0,4044194233/6059174220)</f>
        <v>0.6674497359146738</v>
      </c>
      <c r="AH9" s="40">
        <f>IF($AF9=0,0,(($T9/$AF9)-1))</f>
        <v>0.18023863092610193</v>
      </c>
      <c r="AI9" s="12">
        <v>5691707861</v>
      </c>
      <c r="AJ9" s="12">
        <v>6059174220</v>
      </c>
      <c r="AK9" s="12">
        <v>4044194233</v>
      </c>
      <c r="AL9" s="12"/>
    </row>
    <row r="10" spans="1:38" s="13" customFormat="1" ht="12.75">
      <c r="A10" s="29"/>
      <c r="B10" s="38" t="s">
        <v>41</v>
      </c>
      <c r="C10" s="133" t="s">
        <v>42</v>
      </c>
      <c r="D10" s="78">
        <v>31849421674</v>
      </c>
      <c r="E10" s="79">
        <v>5780819331</v>
      </c>
      <c r="F10" s="81">
        <f aca="true" t="shared" si="0" ref="F10:F17">$D10+$E10</f>
        <v>37630241005</v>
      </c>
      <c r="G10" s="78">
        <v>32340171597</v>
      </c>
      <c r="H10" s="79">
        <v>6129094186</v>
      </c>
      <c r="I10" s="81">
        <f aca="true" t="shared" si="1" ref="I10:I17">$G10+$H10</f>
        <v>38469265783</v>
      </c>
      <c r="J10" s="78">
        <v>6770067413</v>
      </c>
      <c r="K10" s="79">
        <v>735280315</v>
      </c>
      <c r="L10" s="79">
        <f aca="true" t="shared" si="2" ref="L10:L17">$J10+$K10</f>
        <v>7505347728</v>
      </c>
      <c r="M10" s="40">
        <f aca="true" t="shared" si="3" ref="M10:M17">IF($F10=0,0,$L10/$F10)</f>
        <v>0.19944989794252846</v>
      </c>
      <c r="N10" s="106">
        <v>7562157612</v>
      </c>
      <c r="O10" s="107">
        <v>1156924792</v>
      </c>
      <c r="P10" s="108">
        <f aca="true" t="shared" si="4" ref="P10:P17">$N10+$O10</f>
        <v>8719082404</v>
      </c>
      <c r="Q10" s="40">
        <f aca="true" t="shared" si="5" ref="Q10:Q17">IF($F10=0,0,$P10/$F10)</f>
        <v>0.231704133992697</v>
      </c>
      <c r="R10" s="106">
        <v>6758239108</v>
      </c>
      <c r="S10" s="108">
        <v>855087705</v>
      </c>
      <c r="T10" s="108">
        <f aca="true" t="shared" si="6" ref="T10:T17">$R10+$S10</f>
        <v>7613326813</v>
      </c>
      <c r="U10" s="40">
        <f aca="true" t="shared" si="7" ref="U10:U17">IF($I10=0,0,$T10/$I10)</f>
        <v>0.197906735624895</v>
      </c>
      <c r="V10" s="106">
        <v>0</v>
      </c>
      <c r="W10" s="108">
        <v>0</v>
      </c>
      <c r="X10" s="108">
        <f aca="true" t="shared" si="8" ref="X10:X17">$V10+$W10</f>
        <v>0</v>
      </c>
      <c r="Y10" s="40">
        <f aca="true" t="shared" si="9" ref="Y10:Y17">IF($I10=0,0,$X10/$I10)</f>
        <v>0</v>
      </c>
      <c r="Z10" s="78">
        <f aca="true" t="shared" si="10" ref="Z10:Z17">$J10+$N10+$R10</f>
        <v>21090464133</v>
      </c>
      <c r="AA10" s="79">
        <f aca="true" t="shared" si="11" ref="AA10:AA17">$K10+$O10+$S10</f>
        <v>2747292812</v>
      </c>
      <c r="AB10" s="79">
        <f aca="true" t="shared" si="12" ref="AB10:AB17">$Z10+$AA10</f>
        <v>23837756945</v>
      </c>
      <c r="AC10" s="40">
        <f aca="true" t="shared" si="13" ref="AC10:AC17">IF($I10=0,0,$AB10/$I10)</f>
        <v>0.6196571850231197</v>
      </c>
      <c r="AD10" s="78">
        <v>6169957880</v>
      </c>
      <c r="AE10" s="79">
        <v>734326786</v>
      </c>
      <c r="AF10" s="79">
        <f aca="true" t="shared" si="14" ref="AF10:AF17">$AD10+$AE10</f>
        <v>6904284666</v>
      </c>
      <c r="AG10" s="40">
        <f>IF(35240910684=0,0,21593003916/35240910684)</f>
        <v>0.6127254800428188</v>
      </c>
      <c r="AH10" s="40">
        <f aca="true" t="shared" si="15" ref="AH10:AH17">IF($AF10=0,0,(($T10/$AF10)-1))</f>
        <v>0.10269596074038811</v>
      </c>
      <c r="AI10" s="12">
        <v>34649526466</v>
      </c>
      <c r="AJ10" s="12">
        <v>35240910684</v>
      </c>
      <c r="AK10" s="12">
        <v>21593003916</v>
      </c>
      <c r="AL10" s="12"/>
    </row>
    <row r="11" spans="1:38" s="13" customFormat="1" ht="12.75">
      <c r="A11" s="29"/>
      <c r="B11" s="38" t="s">
        <v>43</v>
      </c>
      <c r="C11" s="133" t="s">
        <v>44</v>
      </c>
      <c r="D11" s="78">
        <v>29321871899</v>
      </c>
      <c r="E11" s="79">
        <v>4471563427</v>
      </c>
      <c r="F11" s="81">
        <f t="shared" si="0"/>
        <v>33793435326</v>
      </c>
      <c r="G11" s="78">
        <v>30134372182</v>
      </c>
      <c r="H11" s="79">
        <v>4647061405</v>
      </c>
      <c r="I11" s="81">
        <f t="shared" si="1"/>
        <v>34781433587</v>
      </c>
      <c r="J11" s="78">
        <v>7087662855</v>
      </c>
      <c r="K11" s="79">
        <v>299927335</v>
      </c>
      <c r="L11" s="79">
        <f t="shared" si="2"/>
        <v>7387590190</v>
      </c>
      <c r="M11" s="40">
        <f t="shared" si="3"/>
        <v>0.21861021582248355</v>
      </c>
      <c r="N11" s="106">
        <v>7687563015</v>
      </c>
      <c r="O11" s="107">
        <v>1000625682</v>
      </c>
      <c r="P11" s="108">
        <f t="shared" si="4"/>
        <v>8688188697</v>
      </c>
      <c r="Q11" s="40">
        <f t="shared" si="5"/>
        <v>0.25709693652587845</v>
      </c>
      <c r="R11" s="106">
        <v>6411770314</v>
      </c>
      <c r="S11" s="108">
        <v>508666008</v>
      </c>
      <c r="T11" s="108">
        <f t="shared" si="6"/>
        <v>6920436322</v>
      </c>
      <c r="U11" s="40">
        <f t="shared" si="7"/>
        <v>0.19896926630955777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21186996184</v>
      </c>
      <c r="AA11" s="79">
        <f t="shared" si="11"/>
        <v>1809219025</v>
      </c>
      <c r="AB11" s="79">
        <f t="shared" si="12"/>
        <v>22996215209</v>
      </c>
      <c r="AC11" s="40">
        <f t="shared" si="13"/>
        <v>0.6611635242543633</v>
      </c>
      <c r="AD11" s="78">
        <v>5515081152</v>
      </c>
      <c r="AE11" s="79">
        <v>587326937</v>
      </c>
      <c r="AF11" s="79">
        <f t="shared" si="14"/>
        <v>6102408089</v>
      </c>
      <c r="AG11" s="40">
        <f>IF(30302134775=0,0,18564745299/30302134775)</f>
        <v>0.6126547002990815</v>
      </c>
      <c r="AH11" s="40">
        <f t="shared" si="15"/>
        <v>0.1340500702459657</v>
      </c>
      <c r="AI11" s="12">
        <v>29985183336</v>
      </c>
      <c r="AJ11" s="12">
        <v>30302134775</v>
      </c>
      <c r="AK11" s="12">
        <v>18564745299</v>
      </c>
      <c r="AL11" s="12"/>
    </row>
    <row r="12" spans="1:38" s="13" customFormat="1" ht="12.75">
      <c r="A12" s="29"/>
      <c r="B12" s="38" t="s">
        <v>45</v>
      </c>
      <c r="C12" s="133" t="s">
        <v>46</v>
      </c>
      <c r="D12" s="78">
        <v>29436059051</v>
      </c>
      <c r="E12" s="79">
        <v>6046925999</v>
      </c>
      <c r="F12" s="81">
        <f t="shared" si="0"/>
        <v>35482985050</v>
      </c>
      <c r="G12" s="78">
        <v>29532140428</v>
      </c>
      <c r="H12" s="79">
        <v>6038935000</v>
      </c>
      <c r="I12" s="81">
        <f t="shared" si="1"/>
        <v>35571075428</v>
      </c>
      <c r="J12" s="78">
        <v>6434315745</v>
      </c>
      <c r="K12" s="79">
        <v>823616000</v>
      </c>
      <c r="L12" s="79">
        <f t="shared" si="2"/>
        <v>7257931745</v>
      </c>
      <c r="M12" s="40">
        <f t="shared" si="3"/>
        <v>0.20454681968759558</v>
      </c>
      <c r="N12" s="106">
        <v>6879287497</v>
      </c>
      <c r="O12" s="107">
        <v>1173076000</v>
      </c>
      <c r="P12" s="108">
        <f t="shared" si="4"/>
        <v>8052363497</v>
      </c>
      <c r="Q12" s="40">
        <f t="shared" si="5"/>
        <v>0.22693590986364887</v>
      </c>
      <c r="R12" s="106">
        <v>6536462972</v>
      </c>
      <c r="S12" s="108">
        <v>1101745000</v>
      </c>
      <c r="T12" s="108">
        <f t="shared" si="6"/>
        <v>7638207972</v>
      </c>
      <c r="U12" s="40">
        <f t="shared" si="7"/>
        <v>0.21473086995811028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19850066214</v>
      </c>
      <c r="AA12" s="79">
        <f t="shared" si="11"/>
        <v>3098437000</v>
      </c>
      <c r="AB12" s="79">
        <f t="shared" si="12"/>
        <v>22948503214</v>
      </c>
      <c r="AC12" s="40">
        <f t="shared" si="13"/>
        <v>0.6451450493941473</v>
      </c>
      <c r="AD12" s="78">
        <v>6060308282</v>
      </c>
      <c r="AE12" s="79">
        <v>1202070000</v>
      </c>
      <c r="AF12" s="79">
        <f t="shared" si="14"/>
        <v>7262378282</v>
      </c>
      <c r="AG12" s="40">
        <f>IF(32421355172=0,0,22945609241/32421355172)</f>
        <v>0.7077313430999478</v>
      </c>
      <c r="AH12" s="40">
        <f t="shared" si="15"/>
        <v>0.05175022222837167</v>
      </c>
      <c r="AI12" s="12">
        <v>32564307219</v>
      </c>
      <c r="AJ12" s="12">
        <v>32421355172</v>
      </c>
      <c r="AK12" s="12">
        <v>22945609241</v>
      </c>
      <c r="AL12" s="12"/>
    </row>
    <row r="13" spans="1:38" s="13" customFormat="1" ht="12.75">
      <c r="A13" s="29"/>
      <c r="B13" s="38" t="s">
        <v>47</v>
      </c>
      <c r="C13" s="133" t="s">
        <v>48</v>
      </c>
      <c r="D13" s="78">
        <v>43195322624</v>
      </c>
      <c r="E13" s="79">
        <v>9896853000</v>
      </c>
      <c r="F13" s="81">
        <f t="shared" si="0"/>
        <v>53092175624</v>
      </c>
      <c r="G13" s="78">
        <v>43526976000</v>
      </c>
      <c r="H13" s="79">
        <v>9323557000</v>
      </c>
      <c r="I13" s="81">
        <f t="shared" si="1"/>
        <v>52850533000</v>
      </c>
      <c r="J13" s="78">
        <v>10377125258</v>
      </c>
      <c r="K13" s="79">
        <v>959228000</v>
      </c>
      <c r="L13" s="79">
        <f t="shared" si="2"/>
        <v>11336353258</v>
      </c>
      <c r="M13" s="40">
        <f t="shared" si="3"/>
        <v>0.2135221080086134</v>
      </c>
      <c r="N13" s="106">
        <v>9705179639</v>
      </c>
      <c r="O13" s="107">
        <v>1703181000</v>
      </c>
      <c r="P13" s="108">
        <f t="shared" si="4"/>
        <v>11408360639</v>
      </c>
      <c r="Q13" s="40">
        <f t="shared" si="5"/>
        <v>0.21487837906275062</v>
      </c>
      <c r="R13" s="106">
        <v>9358105805</v>
      </c>
      <c r="S13" s="108">
        <v>1416994686</v>
      </c>
      <c r="T13" s="108">
        <f t="shared" si="6"/>
        <v>10775100491</v>
      </c>
      <c r="U13" s="40">
        <f t="shared" si="7"/>
        <v>0.2038787478453623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29440410702</v>
      </c>
      <c r="AA13" s="79">
        <f t="shared" si="11"/>
        <v>4079403686</v>
      </c>
      <c r="AB13" s="79">
        <f t="shared" si="12"/>
        <v>33519814388</v>
      </c>
      <c r="AC13" s="40">
        <f t="shared" si="13"/>
        <v>0.6342379628981225</v>
      </c>
      <c r="AD13" s="78">
        <v>8782619351</v>
      </c>
      <c r="AE13" s="79">
        <v>1848847944</v>
      </c>
      <c r="AF13" s="79">
        <f t="shared" si="14"/>
        <v>10631467295</v>
      </c>
      <c r="AG13" s="40">
        <f>IF(50476240660=0,0,30861187179/50476240660)</f>
        <v>0.6114002702157653</v>
      </c>
      <c r="AH13" s="40">
        <f t="shared" si="15"/>
        <v>0.013510194972574663</v>
      </c>
      <c r="AI13" s="12">
        <v>48187076329</v>
      </c>
      <c r="AJ13" s="12">
        <v>50476240660</v>
      </c>
      <c r="AK13" s="12">
        <v>30861187179</v>
      </c>
      <c r="AL13" s="12"/>
    </row>
    <row r="14" spans="1:38" s="13" customFormat="1" ht="12.75">
      <c r="A14" s="29"/>
      <c r="B14" s="38" t="s">
        <v>49</v>
      </c>
      <c r="C14" s="133" t="s">
        <v>50</v>
      </c>
      <c r="D14" s="78">
        <v>6206925733</v>
      </c>
      <c r="E14" s="79">
        <v>1793890539</v>
      </c>
      <c r="F14" s="81">
        <f t="shared" si="0"/>
        <v>8000816272</v>
      </c>
      <c r="G14" s="78">
        <v>5938209543</v>
      </c>
      <c r="H14" s="79">
        <v>1851179482</v>
      </c>
      <c r="I14" s="81">
        <f t="shared" si="1"/>
        <v>7789389025</v>
      </c>
      <c r="J14" s="78">
        <v>1366018595</v>
      </c>
      <c r="K14" s="79">
        <v>242491695</v>
      </c>
      <c r="L14" s="79">
        <f t="shared" si="2"/>
        <v>1608510290</v>
      </c>
      <c r="M14" s="40">
        <f t="shared" si="3"/>
        <v>0.20104327300068264</v>
      </c>
      <c r="N14" s="106">
        <v>1431669374</v>
      </c>
      <c r="O14" s="107">
        <v>461320624</v>
      </c>
      <c r="P14" s="108">
        <f t="shared" si="4"/>
        <v>1892989998</v>
      </c>
      <c r="Q14" s="40">
        <f t="shared" si="5"/>
        <v>0.23659960854554166</v>
      </c>
      <c r="R14" s="106">
        <v>1306178095</v>
      </c>
      <c r="S14" s="108">
        <v>354949247</v>
      </c>
      <c r="T14" s="108">
        <f t="shared" si="6"/>
        <v>1661127342</v>
      </c>
      <c r="U14" s="40">
        <f t="shared" si="7"/>
        <v>0.21325515219083566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4103866064</v>
      </c>
      <c r="AA14" s="79">
        <f t="shared" si="11"/>
        <v>1058761566</v>
      </c>
      <c r="AB14" s="79">
        <f t="shared" si="12"/>
        <v>5162627630</v>
      </c>
      <c r="AC14" s="40">
        <f t="shared" si="13"/>
        <v>0.6627769666440558</v>
      </c>
      <c r="AD14" s="78">
        <v>1195940184</v>
      </c>
      <c r="AE14" s="79">
        <v>265256420</v>
      </c>
      <c r="AF14" s="79">
        <f t="shared" si="14"/>
        <v>1461196604</v>
      </c>
      <c r="AG14" s="40">
        <f>IF(7209072133=0,0,4458224165/7209072133)</f>
        <v>0.6184185818577382</v>
      </c>
      <c r="AH14" s="40">
        <f t="shared" si="15"/>
        <v>0.13682671958906356</v>
      </c>
      <c r="AI14" s="12">
        <v>7393509832</v>
      </c>
      <c r="AJ14" s="12">
        <v>7209072133</v>
      </c>
      <c r="AK14" s="12">
        <v>4458224165</v>
      </c>
      <c r="AL14" s="12"/>
    </row>
    <row r="15" spans="1:38" s="13" customFormat="1" ht="12.75">
      <c r="A15" s="29"/>
      <c r="B15" s="38" t="s">
        <v>51</v>
      </c>
      <c r="C15" s="133" t="s">
        <v>52</v>
      </c>
      <c r="D15" s="78">
        <v>8819839296</v>
      </c>
      <c r="E15" s="79">
        <v>1612510043</v>
      </c>
      <c r="F15" s="81">
        <f t="shared" si="0"/>
        <v>10432349339</v>
      </c>
      <c r="G15" s="78">
        <v>9321591236</v>
      </c>
      <c r="H15" s="79">
        <v>1573441238</v>
      </c>
      <c r="I15" s="81">
        <f t="shared" si="1"/>
        <v>10895032474</v>
      </c>
      <c r="J15" s="78">
        <v>2219412902</v>
      </c>
      <c r="K15" s="79">
        <v>178262691</v>
      </c>
      <c r="L15" s="79">
        <f t="shared" si="2"/>
        <v>2397675593</v>
      </c>
      <c r="M15" s="40">
        <f t="shared" si="3"/>
        <v>0.2298308382021485</v>
      </c>
      <c r="N15" s="106">
        <v>2081267588</v>
      </c>
      <c r="O15" s="107">
        <v>341700783</v>
      </c>
      <c r="P15" s="108">
        <f t="shared" si="4"/>
        <v>2422968371</v>
      </c>
      <c r="Q15" s="40">
        <f t="shared" si="5"/>
        <v>0.23225529478216794</v>
      </c>
      <c r="R15" s="106">
        <v>2024644512</v>
      </c>
      <c r="S15" s="108">
        <v>257016414</v>
      </c>
      <c r="T15" s="108">
        <f t="shared" si="6"/>
        <v>2281660926</v>
      </c>
      <c r="U15" s="40">
        <f t="shared" si="7"/>
        <v>0.2094221317325098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6325325002</v>
      </c>
      <c r="AA15" s="79">
        <f t="shared" si="11"/>
        <v>776979888</v>
      </c>
      <c r="AB15" s="79">
        <f t="shared" si="12"/>
        <v>7102304890</v>
      </c>
      <c r="AC15" s="40">
        <f t="shared" si="13"/>
        <v>0.6518846921245074</v>
      </c>
      <c r="AD15" s="78">
        <v>1808414129</v>
      </c>
      <c r="AE15" s="79">
        <v>290938560</v>
      </c>
      <c r="AF15" s="79">
        <f t="shared" si="14"/>
        <v>2099352689</v>
      </c>
      <c r="AG15" s="40">
        <f>IF(10248017334=0,0,6564730829/10248017334)</f>
        <v>0.6405854532681258</v>
      </c>
      <c r="AH15" s="40">
        <f t="shared" si="15"/>
        <v>0.08684021410754017</v>
      </c>
      <c r="AI15" s="12">
        <v>9698617568</v>
      </c>
      <c r="AJ15" s="12">
        <v>10248017334</v>
      </c>
      <c r="AK15" s="12">
        <v>6564730829</v>
      </c>
      <c r="AL15" s="12"/>
    </row>
    <row r="16" spans="1:38" s="13" customFormat="1" ht="12.75">
      <c r="A16" s="29"/>
      <c r="B16" s="38" t="s">
        <v>53</v>
      </c>
      <c r="C16" s="133" t="s">
        <v>54</v>
      </c>
      <c r="D16" s="78">
        <v>25710916381</v>
      </c>
      <c r="E16" s="79">
        <v>3856566482</v>
      </c>
      <c r="F16" s="81">
        <f t="shared" si="0"/>
        <v>29567482863</v>
      </c>
      <c r="G16" s="78">
        <v>26072851662</v>
      </c>
      <c r="H16" s="79">
        <v>3995193295</v>
      </c>
      <c r="I16" s="81">
        <f t="shared" si="1"/>
        <v>30068044957</v>
      </c>
      <c r="J16" s="78">
        <v>5747118548</v>
      </c>
      <c r="K16" s="79">
        <v>386187116</v>
      </c>
      <c r="L16" s="79">
        <f t="shared" si="2"/>
        <v>6133305664</v>
      </c>
      <c r="M16" s="40">
        <f t="shared" si="3"/>
        <v>0.20743414961694503</v>
      </c>
      <c r="N16" s="106">
        <v>7491908644</v>
      </c>
      <c r="O16" s="107">
        <v>1068767093</v>
      </c>
      <c r="P16" s="108">
        <f t="shared" si="4"/>
        <v>8560675737</v>
      </c>
      <c r="Q16" s="40">
        <f t="shared" si="5"/>
        <v>0.2895300819709822</v>
      </c>
      <c r="R16" s="106">
        <v>5978007794</v>
      </c>
      <c r="S16" s="108">
        <v>643512724</v>
      </c>
      <c r="T16" s="108">
        <f t="shared" si="6"/>
        <v>6621520518</v>
      </c>
      <c r="U16" s="40">
        <f t="shared" si="7"/>
        <v>0.22021786010594863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19217034986</v>
      </c>
      <c r="AA16" s="79">
        <f t="shared" si="11"/>
        <v>2098466933</v>
      </c>
      <c r="AB16" s="79">
        <f t="shared" si="12"/>
        <v>21315501919</v>
      </c>
      <c r="AC16" s="40">
        <f t="shared" si="13"/>
        <v>0.7089088083206966</v>
      </c>
      <c r="AD16" s="78">
        <v>5425077089</v>
      </c>
      <c r="AE16" s="79">
        <v>581288727</v>
      </c>
      <c r="AF16" s="79">
        <f t="shared" si="14"/>
        <v>6006365816</v>
      </c>
      <c r="AG16" s="40">
        <f>IF(28978498369=0,0,20726116609/28978498369)</f>
        <v>0.7152239686502163</v>
      </c>
      <c r="AH16" s="40">
        <f t="shared" si="15"/>
        <v>0.10241712224076105</v>
      </c>
      <c r="AI16" s="12">
        <v>28007942517</v>
      </c>
      <c r="AJ16" s="12">
        <v>28978498369</v>
      </c>
      <c r="AK16" s="12">
        <v>20726116609</v>
      </c>
      <c r="AL16" s="12"/>
    </row>
    <row r="17" spans="1:38" s="13" customFormat="1" ht="12.75">
      <c r="A17" s="29"/>
      <c r="B17" s="52" t="s">
        <v>94</v>
      </c>
      <c r="C17" s="133"/>
      <c r="D17" s="82">
        <f>SUM(D9:D16)</f>
        <v>180259041980</v>
      </c>
      <c r="E17" s="83">
        <f>SUM(E9:E16)</f>
        <v>34734483051</v>
      </c>
      <c r="F17" s="84">
        <f t="shared" si="0"/>
        <v>214993525031</v>
      </c>
      <c r="G17" s="82">
        <f>SUM(G9:G16)</f>
        <v>182590206513</v>
      </c>
      <c r="H17" s="83">
        <f>SUM(H9:H16)</f>
        <v>34938611073</v>
      </c>
      <c r="I17" s="84">
        <f t="shared" si="1"/>
        <v>217528817586</v>
      </c>
      <c r="J17" s="82">
        <f>SUM(J9:J16)</f>
        <v>41271975497</v>
      </c>
      <c r="K17" s="83">
        <f>SUM(K9:K16)</f>
        <v>3724576287</v>
      </c>
      <c r="L17" s="83">
        <f t="shared" si="2"/>
        <v>44996551784</v>
      </c>
      <c r="M17" s="44">
        <f t="shared" si="3"/>
        <v>0.20929259045132606</v>
      </c>
      <c r="N17" s="112">
        <f>SUM(N9:N16)</f>
        <v>44140428496</v>
      </c>
      <c r="O17" s="113">
        <f>SUM(O9:O16)</f>
        <v>7203974615</v>
      </c>
      <c r="P17" s="114">
        <f t="shared" si="4"/>
        <v>51344403111</v>
      </c>
      <c r="Q17" s="44">
        <f t="shared" si="5"/>
        <v>0.2388183695466951</v>
      </c>
      <c r="R17" s="112">
        <f>SUM(R9:R16)</f>
        <v>39682574810</v>
      </c>
      <c r="S17" s="114">
        <f>SUM(S9:S16)</f>
        <v>5367442228</v>
      </c>
      <c r="T17" s="114">
        <f t="shared" si="6"/>
        <v>45050017038</v>
      </c>
      <c r="U17" s="44">
        <f t="shared" si="7"/>
        <v>0.20709907559806176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44">
        <f t="shared" si="9"/>
        <v>0</v>
      </c>
      <c r="Z17" s="82">
        <f t="shared" si="10"/>
        <v>125094978803</v>
      </c>
      <c r="AA17" s="83">
        <f t="shared" si="11"/>
        <v>16295993130</v>
      </c>
      <c r="AB17" s="83">
        <f t="shared" si="12"/>
        <v>141390971933</v>
      </c>
      <c r="AC17" s="44">
        <f t="shared" si="13"/>
        <v>0.6499873143341162</v>
      </c>
      <c r="AD17" s="82">
        <f>SUM(AD9:AD16)</f>
        <v>36079501024</v>
      </c>
      <c r="AE17" s="83">
        <f>SUM(AE9:AE16)</f>
        <v>5691618145</v>
      </c>
      <c r="AF17" s="83">
        <f t="shared" si="14"/>
        <v>41771119169</v>
      </c>
      <c r="AG17" s="44">
        <f>IF(28978498369=0,0,20726116609/28978498369)</f>
        <v>0.7152239686502163</v>
      </c>
      <c r="AH17" s="44">
        <f t="shared" si="15"/>
        <v>0.07849676844266607</v>
      </c>
      <c r="AI17" s="12">
        <f>SUM(AI9:AI16)</f>
        <v>196177871128</v>
      </c>
      <c r="AJ17" s="12">
        <f>SUM(AJ9:AJ16)</f>
        <v>200935403347</v>
      </c>
      <c r="AK17" s="12">
        <f>SUM(AK9:AK16)</f>
        <v>129757811471</v>
      </c>
      <c r="AL17" s="12"/>
    </row>
    <row r="18" spans="1:38" s="13" customFormat="1" ht="12.75">
      <c r="A18" s="45"/>
      <c r="B18" s="53"/>
      <c r="C18" s="137"/>
      <c r="D18" s="102"/>
      <c r="E18" s="103"/>
      <c r="F18" s="104"/>
      <c r="G18" s="102"/>
      <c r="H18" s="103"/>
      <c r="I18" s="104"/>
      <c r="J18" s="102"/>
      <c r="K18" s="103"/>
      <c r="L18" s="103"/>
      <c r="M18" s="50"/>
      <c r="N18" s="115"/>
      <c r="O18" s="116"/>
      <c r="P18" s="117"/>
      <c r="Q18" s="50"/>
      <c r="R18" s="115"/>
      <c r="S18" s="117"/>
      <c r="T18" s="117"/>
      <c r="U18" s="50"/>
      <c r="V18" s="115"/>
      <c r="W18" s="117"/>
      <c r="X18" s="117"/>
      <c r="Y18" s="50"/>
      <c r="Z18" s="102"/>
      <c r="AA18" s="103"/>
      <c r="AB18" s="103"/>
      <c r="AC18" s="50"/>
      <c r="AD18" s="102"/>
      <c r="AE18" s="103"/>
      <c r="AF18" s="103"/>
      <c r="AG18" s="50"/>
      <c r="AH18" s="50"/>
      <c r="AI18" s="12"/>
      <c r="AJ18" s="12"/>
      <c r="AK18" s="12"/>
      <c r="AL18" s="12"/>
    </row>
    <row r="19" spans="1:38" ht="12.75">
      <c r="A19" s="54"/>
      <c r="B19" s="55"/>
      <c r="C19" s="138"/>
      <c r="D19" s="105"/>
      <c r="E19" s="105"/>
      <c r="F19" s="105"/>
      <c r="G19" s="105"/>
      <c r="H19" s="105"/>
      <c r="I19" s="105"/>
      <c r="J19" s="105"/>
      <c r="K19" s="105"/>
      <c r="L19" s="105"/>
      <c r="M19" s="51"/>
      <c r="N19" s="118"/>
      <c r="O19" s="118"/>
      <c r="P19" s="118"/>
      <c r="Q19" s="56"/>
      <c r="R19" s="118"/>
      <c r="S19" s="118"/>
      <c r="T19" s="118"/>
      <c r="U19" s="56"/>
      <c r="V19" s="118"/>
      <c r="W19" s="118"/>
      <c r="X19" s="118"/>
      <c r="Y19" s="56"/>
      <c r="Z19" s="105"/>
      <c r="AA19" s="105"/>
      <c r="AB19" s="105"/>
      <c r="AC19" s="51"/>
      <c r="AD19" s="105"/>
      <c r="AE19" s="105"/>
      <c r="AF19" s="105"/>
      <c r="AG19" s="51"/>
      <c r="AH19" s="51"/>
      <c r="AI19" s="2"/>
      <c r="AJ19" s="2"/>
      <c r="AK19" s="2"/>
      <c r="AL19" s="2"/>
    </row>
    <row r="20" spans="1:38" ht="12.75">
      <c r="A20" s="2"/>
      <c r="B20" s="2"/>
      <c r="C20" s="131"/>
      <c r="D20" s="90"/>
      <c r="E20" s="90"/>
      <c r="F20" s="90"/>
      <c r="G20" s="90"/>
      <c r="H20" s="90"/>
      <c r="I20" s="90"/>
      <c r="J20" s="90"/>
      <c r="K20" s="90"/>
      <c r="L20" s="90"/>
      <c r="M20" s="2"/>
      <c r="N20" s="90"/>
      <c r="O20" s="90"/>
      <c r="P20" s="90"/>
      <c r="Q20" s="2"/>
      <c r="R20" s="90"/>
      <c r="S20" s="90"/>
      <c r="T20" s="90"/>
      <c r="U20" s="2"/>
      <c r="V20" s="90"/>
      <c r="W20" s="90"/>
      <c r="X20" s="90"/>
      <c r="Y20" s="2"/>
      <c r="Z20" s="90"/>
      <c r="AA20" s="90"/>
      <c r="AB20" s="90"/>
      <c r="AC20" s="2"/>
      <c r="AD20" s="90"/>
      <c r="AE20" s="90"/>
      <c r="AF20" s="90"/>
      <c r="AG20" s="2"/>
      <c r="AH20" s="2"/>
      <c r="AI20" s="2"/>
      <c r="AJ20" s="2"/>
      <c r="AK20" s="2"/>
      <c r="AL20" s="2"/>
    </row>
    <row r="21" spans="1:38" ht="12.75">
      <c r="A21" s="2"/>
      <c r="B21" s="2"/>
      <c r="C21" s="131"/>
      <c r="D21" s="90"/>
      <c r="E21" s="90"/>
      <c r="F21" s="90"/>
      <c r="G21" s="90"/>
      <c r="H21" s="90"/>
      <c r="I21" s="90"/>
      <c r="J21" s="90"/>
      <c r="K21" s="90"/>
      <c r="L21" s="90"/>
      <c r="M21" s="2"/>
      <c r="N21" s="90"/>
      <c r="O21" s="90"/>
      <c r="P21" s="90"/>
      <c r="Q21" s="2"/>
      <c r="R21" s="90"/>
      <c r="S21" s="90"/>
      <c r="T21" s="90"/>
      <c r="U21" s="2"/>
      <c r="V21" s="90"/>
      <c r="W21" s="90"/>
      <c r="X21" s="90"/>
      <c r="Y21" s="2"/>
      <c r="Z21" s="90"/>
      <c r="AA21" s="90"/>
      <c r="AB21" s="90"/>
      <c r="AC21" s="2"/>
      <c r="AD21" s="90"/>
      <c r="AE21" s="90"/>
      <c r="AF21" s="90"/>
      <c r="AG21" s="2"/>
      <c r="AH21" s="2"/>
      <c r="AI21" s="2"/>
      <c r="AJ21" s="2"/>
      <c r="AK21" s="2"/>
      <c r="AL21" s="2"/>
    </row>
    <row r="22" spans="1:38" ht="12.75">
      <c r="A22" s="2"/>
      <c r="B22" s="2"/>
      <c r="C22" s="131"/>
      <c r="D22" s="90"/>
      <c r="E22" s="90"/>
      <c r="F22" s="90"/>
      <c r="G22" s="90"/>
      <c r="H22" s="90"/>
      <c r="I22" s="90"/>
      <c r="J22" s="90"/>
      <c r="K22" s="90"/>
      <c r="L22" s="90"/>
      <c r="M22" s="2"/>
      <c r="N22" s="90"/>
      <c r="O22" s="90"/>
      <c r="P22" s="90"/>
      <c r="Q22" s="2"/>
      <c r="R22" s="90"/>
      <c r="S22" s="90"/>
      <c r="T22" s="90"/>
      <c r="U22" s="2"/>
      <c r="V22" s="90"/>
      <c r="W22" s="90"/>
      <c r="X22" s="90"/>
      <c r="Y22" s="2"/>
      <c r="Z22" s="90"/>
      <c r="AA22" s="90"/>
      <c r="AB22" s="90"/>
      <c r="AC22" s="2"/>
      <c r="AD22" s="90"/>
      <c r="AE22" s="90"/>
      <c r="AF22" s="90"/>
      <c r="AG22" s="2"/>
      <c r="AH22" s="2"/>
      <c r="AI22" s="2"/>
      <c r="AJ22" s="2"/>
      <c r="AK22" s="2"/>
      <c r="AL22" s="2"/>
    </row>
    <row r="23" spans="1:38" ht="12.75">
      <c r="A23" s="2"/>
      <c r="B23" s="2"/>
      <c r="C23" s="131"/>
      <c r="D23" s="90"/>
      <c r="E23" s="90"/>
      <c r="F23" s="90"/>
      <c r="G23" s="90"/>
      <c r="H23" s="90"/>
      <c r="I23" s="90"/>
      <c r="J23" s="90"/>
      <c r="K23" s="90"/>
      <c r="L23" s="90"/>
      <c r="M23" s="2"/>
      <c r="N23" s="90"/>
      <c r="O23" s="90"/>
      <c r="P23" s="90"/>
      <c r="Q23" s="2"/>
      <c r="R23" s="90"/>
      <c r="S23" s="90"/>
      <c r="T23" s="90"/>
      <c r="U23" s="2"/>
      <c r="V23" s="90"/>
      <c r="W23" s="90"/>
      <c r="X23" s="90"/>
      <c r="Y23" s="2"/>
      <c r="Z23" s="90"/>
      <c r="AA23" s="90"/>
      <c r="AB23" s="90"/>
      <c r="AC23" s="2"/>
      <c r="AD23" s="90"/>
      <c r="AE23" s="90"/>
      <c r="AF23" s="90"/>
      <c r="AG23" s="2"/>
      <c r="AH23" s="2"/>
      <c r="AI23" s="2"/>
      <c r="AJ23" s="2"/>
      <c r="AK23" s="2"/>
      <c r="AL23" s="2"/>
    </row>
    <row r="24" spans="1:38" ht="12.75">
      <c r="A24" s="2"/>
      <c r="B24" s="2"/>
      <c r="C24" s="131"/>
      <c r="D24" s="90"/>
      <c r="E24" s="90"/>
      <c r="F24" s="90"/>
      <c r="G24" s="90"/>
      <c r="H24" s="90"/>
      <c r="I24" s="90"/>
      <c r="J24" s="90"/>
      <c r="K24" s="90"/>
      <c r="L24" s="90"/>
      <c r="M24" s="2"/>
      <c r="N24" s="90"/>
      <c r="O24" s="90"/>
      <c r="P24" s="90"/>
      <c r="Q24" s="2"/>
      <c r="R24" s="90"/>
      <c r="S24" s="90"/>
      <c r="T24" s="90"/>
      <c r="U24" s="2"/>
      <c r="V24" s="90"/>
      <c r="W24" s="90"/>
      <c r="X24" s="90"/>
      <c r="Y24" s="2"/>
      <c r="Z24" s="90"/>
      <c r="AA24" s="90"/>
      <c r="AB24" s="90"/>
      <c r="AC24" s="2"/>
      <c r="AD24" s="90"/>
      <c r="AE24" s="90"/>
      <c r="AF24" s="90"/>
      <c r="AG24" s="2"/>
      <c r="AH24" s="2"/>
      <c r="AI24" s="2"/>
      <c r="AJ24" s="2"/>
      <c r="AK24" s="2"/>
      <c r="AL24" s="2"/>
    </row>
    <row r="25" spans="1:38" ht="12.75">
      <c r="A25" s="2"/>
      <c r="B25" s="2"/>
      <c r="C25" s="131"/>
      <c r="D25" s="90"/>
      <c r="E25" s="90"/>
      <c r="F25" s="90"/>
      <c r="G25" s="90"/>
      <c r="H25" s="90"/>
      <c r="I25" s="90"/>
      <c r="J25" s="90"/>
      <c r="K25" s="90"/>
      <c r="L25" s="90"/>
      <c r="M25" s="2"/>
      <c r="N25" s="90"/>
      <c r="O25" s="90"/>
      <c r="P25" s="90"/>
      <c r="Q25" s="2"/>
      <c r="R25" s="90"/>
      <c r="S25" s="90"/>
      <c r="T25" s="90"/>
      <c r="U25" s="2"/>
      <c r="V25" s="90"/>
      <c r="W25" s="90"/>
      <c r="X25" s="90"/>
      <c r="Y25" s="2"/>
      <c r="Z25" s="90"/>
      <c r="AA25" s="90"/>
      <c r="AB25" s="90"/>
      <c r="AC25" s="2"/>
      <c r="AD25" s="90"/>
      <c r="AE25" s="90"/>
      <c r="AF25" s="90"/>
      <c r="AG25" s="2"/>
      <c r="AH25" s="2"/>
      <c r="AI25" s="2"/>
      <c r="AJ25" s="2"/>
      <c r="AK25" s="2"/>
      <c r="AL25" s="2"/>
    </row>
    <row r="26" spans="1:38" ht="12.75">
      <c r="A26" s="2"/>
      <c r="B26" s="2"/>
      <c r="C26" s="131"/>
      <c r="D26" s="90"/>
      <c r="E26" s="90"/>
      <c r="F26" s="90"/>
      <c r="G26" s="90"/>
      <c r="H26" s="90"/>
      <c r="I26" s="90"/>
      <c r="J26" s="90"/>
      <c r="K26" s="90"/>
      <c r="L26" s="90"/>
      <c r="M26" s="2"/>
      <c r="N26" s="90"/>
      <c r="O26" s="90"/>
      <c r="P26" s="90"/>
      <c r="Q26" s="2"/>
      <c r="R26" s="90"/>
      <c r="S26" s="90"/>
      <c r="T26" s="90"/>
      <c r="U26" s="2"/>
      <c r="V26" s="90"/>
      <c r="W26" s="90"/>
      <c r="X26" s="90"/>
      <c r="Y26" s="2"/>
      <c r="Z26" s="90"/>
      <c r="AA26" s="90"/>
      <c r="AB26" s="90"/>
      <c r="AC26" s="2"/>
      <c r="AD26" s="90"/>
      <c r="AE26" s="90"/>
      <c r="AF26" s="90"/>
      <c r="AG26" s="2"/>
      <c r="AH26" s="2"/>
      <c r="AI26" s="2"/>
      <c r="AJ26" s="2"/>
      <c r="AK26" s="2"/>
      <c r="AL26" s="2"/>
    </row>
    <row r="27" spans="1:38" ht="12.75">
      <c r="A27" s="2"/>
      <c r="B27" s="2"/>
      <c r="C27" s="131"/>
      <c r="D27" s="90"/>
      <c r="E27" s="90"/>
      <c r="F27" s="90"/>
      <c r="G27" s="90"/>
      <c r="H27" s="90"/>
      <c r="I27" s="90"/>
      <c r="J27" s="90"/>
      <c r="K27" s="90"/>
      <c r="L27" s="90"/>
      <c r="M27" s="2"/>
      <c r="N27" s="90"/>
      <c r="O27" s="90"/>
      <c r="P27" s="90"/>
      <c r="Q27" s="2"/>
      <c r="R27" s="90"/>
      <c r="S27" s="90"/>
      <c r="T27" s="90"/>
      <c r="U27" s="2"/>
      <c r="V27" s="90"/>
      <c r="W27" s="90"/>
      <c r="X27" s="90"/>
      <c r="Y27" s="2"/>
      <c r="Z27" s="90"/>
      <c r="AA27" s="90"/>
      <c r="AB27" s="90"/>
      <c r="AC27" s="2"/>
      <c r="AD27" s="90"/>
      <c r="AE27" s="90"/>
      <c r="AF27" s="90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131"/>
      <c r="D28" s="90"/>
      <c r="E28" s="90"/>
      <c r="F28" s="90"/>
      <c r="G28" s="90"/>
      <c r="H28" s="90"/>
      <c r="I28" s="90"/>
      <c r="J28" s="90"/>
      <c r="K28" s="90"/>
      <c r="L28" s="90"/>
      <c r="M28" s="2"/>
      <c r="N28" s="90"/>
      <c r="O28" s="90"/>
      <c r="P28" s="90"/>
      <c r="Q28" s="2"/>
      <c r="R28" s="90"/>
      <c r="S28" s="90"/>
      <c r="T28" s="90"/>
      <c r="U28" s="2"/>
      <c r="V28" s="90"/>
      <c r="W28" s="90"/>
      <c r="X28" s="90"/>
      <c r="Y28" s="2"/>
      <c r="Z28" s="90"/>
      <c r="AA28" s="90"/>
      <c r="AB28" s="90"/>
      <c r="AC28" s="2"/>
      <c r="AD28" s="90"/>
      <c r="AE28" s="90"/>
      <c r="AF28" s="90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131"/>
      <c r="D29" s="90"/>
      <c r="E29" s="90"/>
      <c r="F29" s="90"/>
      <c r="G29" s="90"/>
      <c r="H29" s="90"/>
      <c r="I29" s="90"/>
      <c r="J29" s="90"/>
      <c r="K29" s="90"/>
      <c r="L29" s="90"/>
      <c r="M29" s="2"/>
      <c r="N29" s="90"/>
      <c r="O29" s="90"/>
      <c r="P29" s="90"/>
      <c r="Q29" s="2"/>
      <c r="R29" s="90"/>
      <c r="S29" s="90"/>
      <c r="T29" s="90"/>
      <c r="U29" s="2"/>
      <c r="V29" s="90"/>
      <c r="W29" s="90"/>
      <c r="X29" s="90"/>
      <c r="Y29" s="2"/>
      <c r="Z29" s="90"/>
      <c r="AA29" s="90"/>
      <c r="AB29" s="90"/>
      <c r="AC29" s="2"/>
      <c r="AD29" s="90"/>
      <c r="AE29" s="90"/>
      <c r="AF29" s="90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131"/>
      <c r="D30" s="90"/>
      <c r="E30" s="90"/>
      <c r="F30" s="90"/>
      <c r="G30" s="90"/>
      <c r="H30" s="90"/>
      <c r="I30" s="90"/>
      <c r="J30" s="90"/>
      <c r="K30" s="90"/>
      <c r="L30" s="90"/>
      <c r="M30" s="2"/>
      <c r="N30" s="90"/>
      <c r="O30" s="90"/>
      <c r="P30" s="90"/>
      <c r="Q30" s="2"/>
      <c r="R30" s="90"/>
      <c r="S30" s="90"/>
      <c r="T30" s="90"/>
      <c r="U30" s="2"/>
      <c r="V30" s="90"/>
      <c r="W30" s="90"/>
      <c r="X30" s="90"/>
      <c r="Y30" s="2"/>
      <c r="Z30" s="90"/>
      <c r="AA30" s="90"/>
      <c r="AB30" s="90"/>
      <c r="AC30" s="2"/>
      <c r="AD30" s="90"/>
      <c r="AE30" s="90"/>
      <c r="AF30" s="90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131"/>
      <c r="D31" s="90"/>
      <c r="E31" s="90"/>
      <c r="F31" s="90"/>
      <c r="G31" s="90"/>
      <c r="H31" s="90"/>
      <c r="I31" s="90"/>
      <c r="J31" s="90"/>
      <c r="K31" s="90"/>
      <c r="L31" s="90"/>
      <c r="M31" s="2"/>
      <c r="N31" s="90"/>
      <c r="O31" s="90"/>
      <c r="P31" s="90"/>
      <c r="Q31" s="2"/>
      <c r="R31" s="90"/>
      <c r="S31" s="90"/>
      <c r="T31" s="90"/>
      <c r="U31" s="2"/>
      <c r="V31" s="90"/>
      <c r="W31" s="90"/>
      <c r="X31" s="90"/>
      <c r="Y31" s="2"/>
      <c r="Z31" s="90"/>
      <c r="AA31" s="90"/>
      <c r="AB31" s="90"/>
      <c r="AC31" s="2"/>
      <c r="AD31" s="90"/>
      <c r="AE31" s="90"/>
      <c r="AF31" s="90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131"/>
      <c r="D32" s="90"/>
      <c r="E32" s="90"/>
      <c r="F32" s="90"/>
      <c r="G32" s="90"/>
      <c r="H32" s="90"/>
      <c r="I32" s="90"/>
      <c r="J32" s="90"/>
      <c r="K32" s="90"/>
      <c r="L32" s="90"/>
      <c r="M32" s="2"/>
      <c r="N32" s="90"/>
      <c r="O32" s="90"/>
      <c r="P32" s="90"/>
      <c r="Q32" s="2"/>
      <c r="R32" s="90"/>
      <c r="S32" s="90"/>
      <c r="T32" s="90"/>
      <c r="U32" s="2"/>
      <c r="V32" s="90"/>
      <c r="W32" s="90"/>
      <c r="X32" s="90"/>
      <c r="Y32" s="2"/>
      <c r="Z32" s="90"/>
      <c r="AA32" s="90"/>
      <c r="AB32" s="90"/>
      <c r="AC32" s="2"/>
      <c r="AD32" s="90"/>
      <c r="AE32" s="90"/>
      <c r="AF32" s="90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131"/>
      <c r="D33" s="90"/>
      <c r="E33" s="90"/>
      <c r="F33" s="90"/>
      <c r="G33" s="90"/>
      <c r="H33" s="90"/>
      <c r="I33" s="90"/>
      <c r="J33" s="90"/>
      <c r="K33" s="90"/>
      <c r="L33" s="90"/>
      <c r="M33" s="2"/>
      <c r="N33" s="90"/>
      <c r="O33" s="90"/>
      <c r="P33" s="90"/>
      <c r="Q33" s="2"/>
      <c r="R33" s="90"/>
      <c r="S33" s="90"/>
      <c r="T33" s="90"/>
      <c r="U33" s="2"/>
      <c r="V33" s="90"/>
      <c r="W33" s="90"/>
      <c r="X33" s="90"/>
      <c r="Y33" s="2"/>
      <c r="Z33" s="90"/>
      <c r="AA33" s="90"/>
      <c r="AB33" s="90"/>
      <c r="AC33" s="2"/>
      <c r="AD33" s="90"/>
      <c r="AE33" s="90"/>
      <c r="AF33" s="90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131"/>
      <c r="D34" s="90"/>
      <c r="E34" s="90"/>
      <c r="F34" s="90"/>
      <c r="G34" s="90"/>
      <c r="H34" s="90"/>
      <c r="I34" s="90"/>
      <c r="J34" s="90"/>
      <c r="K34" s="90"/>
      <c r="L34" s="90"/>
      <c r="M34" s="2"/>
      <c r="N34" s="90"/>
      <c r="O34" s="90"/>
      <c r="P34" s="90"/>
      <c r="Q34" s="2"/>
      <c r="R34" s="90"/>
      <c r="S34" s="90"/>
      <c r="T34" s="90"/>
      <c r="U34" s="2"/>
      <c r="V34" s="90"/>
      <c r="W34" s="90"/>
      <c r="X34" s="90"/>
      <c r="Y34" s="2"/>
      <c r="Z34" s="90"/>
      <c r="AA34" s="90"/>
      <c r="AB34" s="90"/>
      <c r="AC34" s="2"/>
      <c r="AD34" s="90"/>
      <c r="AE34" s="90"/>
      <c r="AF34" s="90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131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90"/>
      <c r="O35" s="90"/>
      <c r="P35" s="90"/>
      <c r="Q35" s="2"/>
      <c r="R35" s="90"/>
      <c r="S35" s="90"/>
      <c r="T35" s="90"/>
      <c r="U35" s="2"/>
      <c r="V35" s="90"/>
      <c r="W35" s="90"/>
      <c r="X35" s="90"/>
      <c r="Y35" s="2"/>
      <c r="Z35" s="90"/>
      <c r="AA35" s="90"/>
      <c r="AB35" s="90"/>
      <c r="AC35" s="2"/>
      <c r="AD35" s="90"/>
      <c r="AE35" s="90"/>
      <c r="AF35" s="90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131"/>
      <c r="D36" s="90"/>
      <c r="E36" s="90"/>
      <c r="F36" s="90"/>
      <c r="G36" s="90"/>
      <c r="H36" s="90"/>
      <c r="I36" s="90"/>
      <c r="J36" s="90"/>
      <c r="K36" s="90"/>
      <c r="L36" s="90"/>
      <c r="M36" s="2"/>
      <c r="N36" s="90"/>
      <c r="O36" s="90"/>
      <c r="P36" s="90"/>
      <c r="Q36" s="2"/>
      <c r="R36" s="90"/>
      <c r="S36" s="90"/>
      <c r="T36" s="90"/>
      <c r="U36" s="2"/>
      <c r="V36" s="90"/>
      <c r="W36" s="90"/>
      <c r="X36" s="90"/>
      <c r="Y36" s="2"/>
      <c r="Z36" s="90"/>
      <c r="AA36" s="90"/>
      <c r="AB36" s="90"/>
      <c r="AC36" s="2"/>
      <c r="AD36" s="90"/>
      <c r="AE36" s="90"/>
      <c r="AF36" s="90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131"/>
      <c r="D37" s="90"/>
      <c r="E37" s="90"/>
      <c r="F37" s="90"/>
      <c r="G37" s="90"/>
      <c r="H37" s="90"/>
      <c r="I37" s="90"/>
      <c r="J37" s="90"/>
      <c r="K37" s="90"/>
      <c r="L37" s="90"/>
      <c r="M37" s="2"/>
      <c r="N37" s="90"/>
      <c r="O37" s="90"/>
      <c r="P37" s="90"/>
      <c r="Q37" s="2"/>
      <c r="R37" s="90"/>
      <c r="S37" s="90"/>
      <c r="T37" s="90"/>
      <c r="U37" s="2"/>
      <c r="V37" s="90"/>
      <c r="W37" s="90"/>
      <c r="X37" s="90"/>
      <c r="Y37" s="2"/>
      <c r="Z37" s="90"/>
      <c r="AA37" s="90"/>
      <c r="AB37" s="90"/>
      <c r="AC37" s="2"/>
      <c r="AD37" s="90"/>
      <c r="AE37" s="90"/>
      <c r="AF37" s="90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131"/>
      <c r="D38" s="90"/>
      <c r="E38" s="90"/>
      <c r="F38" s="90"/>
      <c r="G38" s="90"/>
      <c r="H38" s="90"/>
      <c r="I38" s="90"/>
      <c r="J38" s="90"/>
      <c r="K38" s="90"/>
      <c r="L38" s="90"/>
      <c r="M38" s="2"/>
      <c r="N38" s="90"/>
      <c r="O38" s="90"/>
      <c r="P38" s="90"/>
      <c r="Q38" s="2"/>
      <c r="R38" s="90"/>
      <c r="S38" s="90"/>
      <c r="T38" s="90"/>
      <c r="U38" s="2"/>
      <c r="V38" s="90"/>
      <c r="W38" s="90"/>
      <c r="X38" s="90"/>
      <c r="Y38" s="2"/>
      <c r="Z38" s="90"/>
      <c r="AA38" s="90"/>
      <c r="AB38" s="90"/>
      <c r="AC38" s="2"/>
      <c r="AD38" s="90"/>
      <c r="AE38" s="90"/>
      <c r="AF38" s="90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131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131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131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131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131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131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131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131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131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131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131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131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131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131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131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131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131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131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131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131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131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131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131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131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131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131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131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131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131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131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131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131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131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131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131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131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131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131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131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131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131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131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131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13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13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13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4"/>
  <sheetViews>
    <sheetView showGridLines="0" zoomScalePageLayoutView="0" workbookViewId="0" topLeftCell="A1">
      <selection activeCell="C32" sqref="C32"/>
    </sheetView>
  </sheetViews>
  <sheetFormatPr defaultColWidth="9.140625" defaultRowHeight="12.75"/>
  <cols>
    <col min="1" max="1" width="1.5742187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s="7" customFormat="1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"/>
      <c r="AJ3" s="6"/>
      <c r="AK3" s="6"/>
      <c r="AL3" s="6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24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139" t="s">
        <v>654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30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/>
      <c r="B9" s="38" t="s">
        <v>55</v>
      </c>
      <c r="C9" s="39" t="s">
        <v>56</v>
      </c>
      <c r="D9" s="78">
        <v>2743375472</v>
      </c>
      <c r="E9" s="79">
        <v>138927364</v>
      </c>
      <c r="F9" s="80">
        <f>$D9+$E9</f>
        <v>2882302836</v>
      </c>
      <c r="G9" s="78">
        <v>2714777772</v>
      </c>
      <c r="H9" s="79">
        <v>143005289</v>
      </c>
      <c r="I9" s="81">
        <f>$G9+$H9</f>
        <v>2857783061</v>
      </c>
      <c r="J9" s="78">
        <v>431575941</v>
      </c>
      <c r="K9" s="79">
        <v>5292158</v>
      </c>
      <c r="L9" s="79">
        <f>$J9+$K9</f>
        <v>436868099</v>
      </c>
      <c r="M9" s="40">
        <f>IF($F9=0,0,$L9/$F9)</f>
        <v>0.15156911811746904</v>
      </c>
      <c r="N9" s="106">
        <v>878939264</v>
      </c>
      <c r="O9" s="107">
        <v>21557868</v>
      </c>
      <c r="P9" s="108">
        <f>$N9+$O9</f>
        <v>900497132</v>
      </c>
      <c r="Q9" s="40">
        <f>IF($F9=0,0,$P9/$F9)</f>
        <v>0.31242280330601596</v>
      </c>
      <c r="R9" s="106">
        <v>680433238</v>
      </c>
      <c r="S9" s="108">
        <v>21661955</v>
      </c>
      <c r="T9" s="108">
        <f>$R9+$S9</f>
        <v>702095193</v>
      </c>
      <c r="U9" s="40">
        <f>IF($I9=0,0,$T9/$I9)</f>
        <v>0.2456782680888037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1990948443</v>
      </c>
      <c r="AA9" s="79">
        <f>$K9+$O9+$S9</f>
        <v>48511981</v>
      </c>
      <c r="AB9" s="79">
        <f>$Z9+$AA9</f>
        <v>2039460424</v>
      </c>
      <c r="AC9" s="40">
        <f>IF($I9=0,0,$AB9/$I9)</f>
        <v>0.7136512396033129</v>
      </c>
      <c r="AD9" s="78">
        <v>625341307</v>
      </c>
      <c r="AE9" s="79">
        <v>23545976</v>
      </c>
      <c r="AF9" s="79">
        <f>$AD9+$AE9</f>
        <v>648887283</v>
      </c>
      <c r="AG9" s="40">
        <f>IF(2739190062=0,0,1772375544/2739190062)</f>
        <v>0.6470436530081132</v>
      </c>
      <c r="AH9" s="40">
        <f>IF($AF9=0,0,(($T9/$AF9)-1))</f>
        <v>0.08199869437108376</v>
      </c>
      <c r="AI9" s="12">
        <v>2234741100</v>
      </c>
      <c r="AJ9" s="12">
        <v>2739190062</v>
      </c>
      <c r="AK9" s="12">
        <v>1772375544</v>
      </c>
      <c r="AL9" s="12"/>
    </row>
    <row r="10" spans="1:38" s="13" customFormat="1" ht="12.75">
      <c r="A10" s="29"/>
      <c r="B10" s="38" t="s">
        <v>57</v>
      </c>
      <c r="C10" s="39" t="s">
        <v>58</v>
      </c>
      <c r="D10" s="78">
        <v>1907865282</v>
      </c>
      <c r="E10" s="79">
        <v>375837493</v>
      </c>
      <c r="F10" s="81">
        <f aca="true" t="shared" si="0" ref="F10:F28">$D10+$E10</f>
        <v>2283702775</v>
      </c>
      <c r="G10" s="78">
        <v>1943930827</v>
      </c>
      <c r="H10" s="79">
        <v>665830951</v>
      </c>
      <c r="I10" s="81">
        <f aca="true" t="shared" si="1" ref="I10:I28">$G10+$H10</f>
        <v>2609761778</v>
      </c>
      <c r="J10" s="78">
        <v>349440059</v>
      </c>
      <c r="K10" s="79">
        <v>31011921</v>
      </c>
      <c r="L10" s="79">
        <f aca="true" t="shared" si="2" ref="L10:L28">$J10+$K10</f>
        <v>380451980</v>
      </c>
      <c r="M10" s="40">
        <f aca="true" t="shared" si="3" ref="M10:M28">IF($F10=0,0,$L10/$F10)</f>
        <v>0.16659435026521785</v>
      </c>
      <c r="N10" s="106">
        <v>395444686</v>
      </c>
      <c r="O10" s="107">
        <v>100160953</v>
      </c>
      <c r="P10" s="108">
        <f aca="true" t="shared" si="4" ref="P10:P28">$N10+$O10</f>
        <v>495605639</v>
      </c>
      <c r="Q10" s="40">
        <f aca="true" t="shared" si="5" ref="Q10:Q28">IF($F10=0,0,$P10/$F10)</f>
        <v>0.21701845109856732</v>
      </c>
      <c r="R10" s="106">
        <v>359862037</v>
      </c>
      <c r="S10" s="108">
        <v>57870180</v>
      </c>
      <c r="T10" s="108">
        <f aca="true" t="shared" si="6" ref="T10:T28">$R10+$S10</f>
        <v>417732217</v>
      </c>
      <c r="U10" s="40">
        <f aca="true" t="shared" si="7" ref="U10:U28">IF($I10=0,0,$T10/$I10)</f>
        <v>0.16006526745905925</v>
      </c>
      <c r="V10" s="106">
        <v>0</v>
      </c>
      <c r="W10" s="108">
        <v>0</v>
      </c>
      <c r="X10" s="108">
        <f aca="true" t="shared" si="8" ref="X10:X28">$V10+$W10</f>
        <v>0</v>
      </c>
      <c r="Y10" s="40">
        <f aca="true" t="shared" si="9" ref="Y10:Y28">IF($I10=0,0,$X10/$I10)</f>
        <v>0</v>
      </c>
      <c r="Z10" s="78">
        <f aca="true" t="shared" si="10" ref="Z10:Z28">$J10+$N10+$R10</f>
        <v>1104746782</v>
      </c>
      <c r="AA10" s="79">
        <f aca="true" t="shared" si="11" ref="AA10:AA28">$K10+$O10+$S10</f>
        <v>189043054</v>
      </c>
      <c r="AB10" s="79">
        <f aca="true" t="shared" si="12" ref="AB10:AB28">$Z10+$AA10</f>
        <v>1293789836</v>
      </c>
      <c r="AC10" s="40">
        <f aca="true" t="shared" si="13" ref="AC10:AC28">IF($I10=0,0,$AB10/$I10)</f>
        <v>0.4957501665119413</v>
      </c>
      <c r="AD10" s="78">
        <v>338830152</v>
      </c>
      <c r="AE10" s="79">
        <v>36689538</v>
      </c>
      <c r="AF10" s="79">
        <f aca="true" t="shared" si="14" ref="AF10:AF28">$AD10+$AE10</f>
        <v>375519690</v>
      </c>
      <c r="AG10" s="40">
        <f>IF(1985639364=0,0,1063185956/1985639364)</f>
        <v>0.5354375901665495</v>
      </c>
      <c r="AH10" s="40">
        <f aca="true" t="shared" si="15" ref="AH10:AH28">IF($AF10=0,0,(($T10/$AF10)-1))</f>
        <v>0.11241095506869425</v>
      </c>
      <c r="AI10" s="12">
        <v>1844335026</v>
      </c>
      <c r="AJ10" s="12">
        <v>1985639364</v>
      </c>
      <c r="AK10" s="12">
        <v>1063185956</v>
      </c>
      <c r="AL10" s="12"/>
    </row>
    <row r="11" spans="1:38" s="13" customFormat="1" ht="12.75">
      <c r="A11" s="29"/>
      <c r="B11" s="38" t="s">
        <v>59</v>
      </c>
      <c r="C11" s="39" t="s">
        <v>60</v>
      </c>
      <c r="D11" s="78">
        <v>2381789401</v>
      </c>
      <c r="E11" s="79">
        <v>203042372</v>
      </c>
      <c r="F11" s="81">
        <f t="shared" si="0"/>
        <v>2584831773</v>
      </c>
      <c r="G11" s="78">
        <v>2264950319</v>
      </c>
      <c r="H11" s="79">
        <v>289920423</v>
      </c>
      <c r="I11" s="81">
        <f t="shared" si="1"/>
        <v>2554870742</v>
      </c>
      <c r="J11" s="78">
        <v>329408663</v>
      </c>
      <c r="K11" s="79">
        <v>30807260</v>
      </c>
      <c r="L11" s="79">
        <f t="shared" si="2"/>
        <v>360215923</v>
      </c>
      <c r="M11" s="40">
        <f t="shared" si="3"/>
        <v>0.1393575886688855</v>
      </c>
      <c r="N11" s="106">
        <v>417311910</v>
      </c>
      <c r="O11" s="107">
        <v>20024235</v>
      </c>
      <c r="P11" s="108">
        <f t="shared" si="4"/>
        <v>437336145</v>
      </c>
      <c r="Q11" s="40">
        <f t="shared" si="5"/>
        <v>0.16919327190582317</v>
      </c>
      <c r="R11" s="106">
        <v>256865220</v>
      </c>
      <c r="S11" s="108">
        <v>35803330</v>
      </c>
      <c r="T11" s="108">
        <f t="shared" si="6"/>
        <v>292668550</v>
      </c>
      <c r="U11" s="40">
        <f t="shared" si="7"/>
        <v>0.11455317296048162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1003585793</v>
      </c>
      <c r="AA11" s="79">
        <f t="shared" si="11"/>
        <v>86634825</v>
      </c>
      <c r="AB11" s="79">
        <f t="shared" si="12"/>
        <v>1090220618</v>
      </c>
      <c r="AC11" s="40">
        <f t="shared" si="13"/>
        <v>0.4267224169417491</v>
      </c>
      <c r="AD11" s="78">
        <v>351742285</v>
      </c>
      <c r="AE11" s="79">
        <v>28739139</v>
      </c>
      <c r="AF11" s="79">
        <f t="shared" si="14"/>
        <v>380481424</v>
      </c>
      <c r="AG11" s="40">
        <f>IF(2135595986=0,0,1141406678/2135595986)</f>
        <v>0.5344675142126812</v>
      </c>
      <c r="AH11" s="40">
        <f t="shared" si="15"/>
        <v>-0.2307941162457382</v>
      </c>
      <c r="AI11" s="12">
        <v>2081460612</v>
      </c>
      <c r="AJ11" s="12">
        <v>2135595986</v>
      </c>
      <c r="AK11" s="12">
        <v>1141406678</v>
      </c>
      <c r="AL11" s="12"/>
    </row>
    <row r="12" spans="1:38" s="13" customFormat="1" ht="12.75">
      <c r="A12" s="29"/>
      <c r="B12" s="38" t="s">
        <v>61</v>
      </c>
      <c r="C12" s="39" t="s">
        <v>62</v>
      </c>
      <c r="D12" s="78">
        <v>5222358552</v>
      </c>
      <c r="E12" s="79">
        <v>533880960</v>
      </c>
      <c r="F12" s="81">
        <f t="shared" si="0"/>
        <v>5756239512</v>
      </c>
      <c r="G12" s="78">
        <v>5442623522</v>
      </c>
      <c r="H12" s="79">
        <v>335840772</v>
      </c>
      <c r="I12" s="81">
        <f t="shared" si="1"/>
        <v>5778464294</v>
      </c>
      <c r="J12" s="78">
        <v>893659233</v>
      </c>
      <c r="K12" s="79">
        <v>54899541</v>
      </c>
      <c r="L12" s="79">
        <f t="shared" si="2"/>
        <v>948558774</v>
      </c>
      <c r="M12" s="40">
        <f t="shared" si="3"/>
        <v>0.16478792656604105</v>
      </c>
      <c r="N12" s="106">
        <v>1185988307</v>
      </c>
      <c r="O12" s="107">
        <v>50035079</v>
      </c>
      <c r="P12" s="108">
        <f t="shared" si="4"/>
        <v>1236023386</v>
      </c>
      <c r="Q12" s="40">
        <f t="shared" si="5"/>
        <v>0.21472758098812064</v>
      </c>
      <c r="R12" s="106">
        <v>1304311101</v>
      </c>
      <c r="S12" s="108">
        <v>20914701</v>
      </c>
      <c r="T12" s="108">
        <f t="shared" si="6"/>
        <v>1325225802</v>
      </c>
      <c r="U12" s="40">
        <f t="shared" si="7"/>
        <v>0.2293387541350792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3383958641</v>
      </c>
      <c r="AA12" s="79">
        <f t="shared" si="11"/>
        <v>125849321</v>
      </c>
      <c r="AB12" s="79">
        <f t="shared" si="12"/>
        <v>3509807962</v>
      </c>
      <c r="AC12" s="40">
        <f t="shared" si="13"/>
        <v>0.6073945919583457</v>
      </c>
      <c r="AD12" s="78">
        <v>1155903889</v>
      </c>
      <c r="AE12" s="79">
        <v>31987643</v>
      </c>
      <c r="AF12" s="79">
        <f t="shared" si="14"/>
        <v>1187891532</v>
      </c>
      <c r="AG12" s="40">
        <f>IF(5179765269=0,0,3144575409/5179765269)</f>
        <v>0.6070883998971421</v>
      </c>
      <c r="AH12" s="40">
        <f t="shared" si="15"/>
        <v>0.11561179308078451</v>
      </c>
      <c r="AI12" s="12">
        <v>4974546477</v>
      </c>
      <c r="AJ12" s="12">
        <v>5179765269</v>
      </c>
      <c r="AK12" s="12">
        <v>3144575409</v>
      </c>
      <c r="AL12" s="12"/>
    </row>
    <row r="13" spans="1:38" s="13" customFormat="1" ht="12.75">
      <c r="A13" s="29"/>
      <c r="B13" s="38" t="s">
        <v>63</v>
      </c>
      <c r="C13" s="39" t="s">
        <v>64</v>
      </c>
      <c r="D13" s="78">
        <v>1436481300</v>
      </c>
      <c r="E13" s="79">
        <v>244338094</v>
      </c>
      <c r="F13" s="81">
        <f t="shared" si="0"/>
        <v>1680819394</v>
      </c>
      <c r="G13" s="78">
        <v>1504123811</v>
      </c>
      <c r="H13" s="79">
        <v>258235581</v>
      </c>
      <c r="I13" s="81">
        <f t="shared" si="1"/>
        <v>1762359392</v>
      </c>
      <c r="J13" s="78">
        <v>229869708</v>
      </c>
      <c r="K13" s="79">
        <v>22452626</v>
      </c>
      <c r="L13" s="79">
        <f t="shared" si="2"/>
        <v>252322334</v>
      </c>
      <c r="M13" s="40">
        <f t="shared" si="3"/>
        <v>0.1501186474291717</v>
      </c>
      <c r="N13" s="106">
        <v>385399115</v>
      </c>
      <c r="O13" s="107">
        <v>38872699</v>
      </c>
      <c r="P13" s="108">
        <f t="shared" si="4"/>
        <v>424271814</v>
      </c>
      <c r="Q13" s="40">
        <f t="shared" si="5"/>
        <v>0.2524196326592362</v>
      </c>
      <c r="R13" s="106">
        <v>308728392</v>
      </c>
      <c r="S13" s="108">
        <v>36442595</v>
      </c>
      <c r="T13" s="108">
        <f t="shared" si="6"/>
        <v>345170987</v>
      </c>
      <c r="U13" s="40">
        <f t="shared" si="7"/>
        <v>0.19585731977646476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923997215</v>
      </c>
      <c r="AA13" s="79">
        <f t="shared" si="11"/>
        <v>97767920</v>
      </c>
      <c r="AB13" s="79">
        <f t="shared" si="12"/>
        <v>1021765135</v>
      </c>
      <c r="AC13" s="40">
        <f t="shared" si="13"/>
        <v>0.5797711520352598</v>
      </c>
      <c r="AD13" s="78">
        <v>254213881</v>
      </c>
      <c r="AE13" s="79">
        <v>38215236</v>
      </c>
      <c r="AF13" s="79">
        <f t="shared" si="14"/>
        <v>292429117</v>
      </c>
      <c r="AG13" s="40">
        <f>IF(1514157637=0,0,892130404/1514157637)</f>
        <v>0.5891925531396967</v>
      </c>
      <c r="AH13" s="40">
        <f t="shared" si="15"/>
        <v>0.18035779248343453</v>
      </c>
      <c r="AI13" s="12">
        <v>1468238669</v>
      </c>
      <c r="AJ13" s="12">
        <v>1514157637</v>
      </c>
      <c r="AK13" s="12">
        <v>892130404</v>
      </c>
      <c r="AL13" s="12"/>
    </row>
    <row r="14" spans="1:38" s="13" customFormat="1" ht="12.75">
      <c r="A14" s="29"/>
      <c r="B14" s="38" t="s">
        <v>65</v>
      </c>
      <c r="C14" s="39" t="s">
        <v>66</v>
      </c>
      <c r="D14" s="78">
        <v>1605178416</v>
      </c>
      <c r="E14" s="79">
        <v>106439000</v>
      </c>
      <c r="F14" s="81">
        <f t="shared" si="0"/>
        <v>1711617416</v>
      </c>
      <c r="G14" s="78">
        <v>1826717408</v>
      </c>
      <c r="H14" s="79">
        <v>143718726</v>
      </c>
      <c r="I14" s="81">
        <f t="shared" si="1"/>
        <v>1970436134</v>
      </c>
      <c r="J14" s="78">
        <v>423852287</v>
      </c>
      <c r="K14" s="79">
        <v>15085751</v>
      </c>
      <c r="L14" s="79">
        <f t="shared" si="2"/>
        <v>438938038</v>
      </c>
      <c r="M14" s="40">
        <f t="shared" si="3"/>
        <v>0.2564463494568695</v>
      </c>
      <c r="N14" s="106">
        <v>295964980</v>
      </c>
      <c r="O14" s="107">
        <v>16027876</v>
      </c>
      <c r="P14" s="108">
        <f t="shared" si="4"/>
        <v>311992856</v>
      </c>
      <c r="Q14" s="40">
        <f t="shared" si="5"/>
        <v>0.18227955212626792</v>
      </c>
      <c r="R14" s="106">
        <v>366910452</v>
      </c>
      <c r="S14" s="108">
        <v>12093190</v>
      </c>
      <c r="T14" s="108">
        <f t="shared" si="6"/>
        <v>379003642</v>
      </c>
      <c r="U14" s="40">
        <f t="shared" si="7"/>
        <v>0.1923450526816212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1086727719</v>
      </c>
      <c r="AA14" s="79">
        <f t="shared" si="11"/>
        <v>43206817</v>
      </c>
      <c r="AB14" s="79">
        <f t="shared" si="12"/>
        <v>1129934536</v>
      </c>
      <c r="AC14" s="40">
        <f t="shared" si="13"/>
        <v>0.5734438769686102</v>
      </c>
      <c r="AD14" s="78">
        <v>402778987</v>
      </c>
      <c r="AE14" s="79">
        <v>11646632</v>
      </c>
      <c r="AF14" s="79">
        <f t="shared" si="14"/>
        <v>414425619</v>
      </c>
      <c r="AG14" s="40">
        <f>IF(1746469807=0,0,1094976502/1746469807)</f>
        <v>0.6269656066261442</v>
      </c>
      <c r="AH14" s="40">
        <f t="shared" si="15"/>
        <v>-0.08547245965505812</v>
      </c>
      <c r="AI14" s="12">
        <v>1975002215</v>
      </c>
      <c r="AJ14" s="12">
        <v>1746469807</v>
      </c>
      <c r="AK14" s="12">
        <v>1094976502</v>
      </c>
      <c r="AL14" s="12"/>
    </row>
    <row r="15" spans="1:38" s="13" customFormat="1" ht="12.75">
      <c r="A15" s="29"/>
      <c r="B15" s="38" t="s">
        <v>67</v>
      </c>
      <c r="C15" s="39" t="s">
        <v>68</v>
      </c>
      <c r="D15" s="78">
        <v>1512169000</v>
      </c>
      <c r="E15" s="79">
        <v>292461000</v>
      </c>
      <c r="F15" s="81">
        <f t="shared" si="0"/>
        <v>1804630000</v>
      </c>
      <c r="G15" s="78">
        <v>1512169000</v>
      </c>
      <c r="H15" s="79">
        <v>292461000</v>
      </c>
      <c r="I15" s="81">
        <f t="shared" si="1"/>
        <v>1804630000</v>
      </c>
      <c r="J15" s="78">
        <v>230982863</v>
      </c>
      <c r="K15" s="79">
        <v>13163976</v>
      </c>
      <c r="L15" s="79">
        <f t="shared" si="2"/>
        <v>244146839</v>
      </c>
      <c r="M15" s="40">
        <f t="shared" si="3"/>
        <v>0.13528913904789347</v>
      </c>
      <c r="N15" s="106">
        <v>356568583</v>
      </c>
      <c r="O15" s="107">
        <v>49565201</v>
      </c>
      <c r="P15" s="108">
        <f t="shared" si="4"/>
        <v>406133784</v>
      </c>
      <c r="Q15" s="40">
        <f t="shared" si="5"/>
        <v>0.22505099881970264</v>
      </c>
      <c r="R15" s="106">
        <v>360366656</v>
      </c>
      <c r="S15" s="108">
        <v>73344887</v>
      </c>
      <c r="T15" s="108">
        <f t="shared" si="6"/>
        <v>433711543</v>
      </c>
      <c r="U15" s="40">
        <f t="shared" si="7"/>
        <v>0.24033266819237184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947918102</v>
      </c>
      <c r="AA15" s="79">
        <f t="shared" si="11"/>
        <v>136074064</v>
      </c>
      <c r="AB15" s="79">
        <f t="shared" si="12"/>
        <v>1083992166</v>
      </c>
      <c r="AC15" s="40">
        <f t="shared" si="13"/>
        <v>0.600672806059968</v>
      </c>
      <c r="AD15" s="78">
        <v>289538329</v>
      </c>
      <c r="AE15" s="79">
        <v>93824950</v>
      </c>
      <c r="AF15" s="79">
        <f t="shared" si="14"/>
        <v>383363279</v>
      </c>
      <c r="AG15" s="40">
        <f>IF(1683418313=0,0,1144246523/1683418313)</f>
        <v>0.679716095615505</v>
      </c>
      <c r="AH15" s="40">
        <f t="shared" si="15"/>
        <v>0.13133303776859662</v>
      </c>
      <c r="AI15" s="12">
        <v>1657321895</v>
      </c>
      <c r="AJ15" s="12">
        <v>1683418313</v>
      </c>
      <c r="AK15" s="12">
        <v>1144246523</v>
      </c>
      <c r="AL15" s="12"/>
    </row>
    <row r="16" spans="1:38" s="13" customFormat="1" ht="12.75">
      <c r="A16" s="29"/>
      <c r="B16" s="38" t="s">
        <v>69</v>
      </c>
      <c r="C16" s="39" t="s">
        <v>70</v>
      </c>
      <c r="D16" s="78">
        <v>2068070714</v>
      </c>
      <c r="E16" s="79">
        <v>146450187</v>
      </c>
      <c r="F16" s="81">
        <f t="shared" si="0"/>
        <v>2214520901</v>
      </c>
      <c r="G16" s="78">
        <v>2045070714</v>
      </c>
      <c r="H16" s="79">
        <v>146451000</v>
      </c>
      <c r="I16" s="81">
        <f t="shared" si="1"/>
        <v>2191521714</v>
      </c>
      <c r="J16" s="78">
        <v>270843399</v>
      </c>
      <c r="K16" s="79">
        <v>19515351</v>
      </c>
      <c r="L16" s="79">
        <f t="shared" si="2"/>
        <v>290358750</v>
      </c>
      <c r="M16" s="40">
        <f t="shared" si="3"/>
        <v>0.1311158318121469</v>
      </c>
      <c r="N16" s="106">
        <v>308161748</v>
      </c>
      <c r="O16" s="107">
        <v>10954532</v>
      </c>
      <c r="P16" s="108">
        <f t="shared" si="4"/>
        <v>319116280</v>
      </c>
      <c r="Q16" s="40">
        <f t="shared" si="5"/>
        <v>0.14410172414985936</v>
      </c>
      <c r="R16" s="106">
        <v>397683948</v>
      </c>
      <c r="S16" s="108">
        <v>32167745</v>
      </c>
      <c r="T16" s="108">
        <f t="shared" si="6"/>
        <v>429851693</v>
      </c>
      <c r="U16" s="40">
        <f t="shared" si="7"/>
        <v>0.19614302256463975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976689095</v>
      </c>
      <c r="AA16" s="79">
        <f t="shared" si="11"/>
        <v>62637628</v>
      </c>
      <c r="AB16" s="79">
        <f t="shared" si="12"/>
        <v>1039326723</v>
      </c>
      <c r="AC16" s="40">
        <f t="shared" si="13"/>
        <v>0.47424888211716804</v>
      </c>
      <c r="AD16" s="78">
        <v>254890175</v>
      </c>
      <c r="AE16" s="79">
        <v>34513995</v>
      </c>
      <c r="AF16" s="79">
        <f t="shared" si="14"/>
        <v>289404170</v>
      </c>
      <c r="AG16" s="40">
        <f>IF(2120319441=0,0,1000504925/2120319441)</f>
        <v>0.4718651848648498</v>
      </c>
      <c r="AH16" s="40">
        <f t="shared" si="15"/>
        <v>0.4852988918577088</v>
      </c>
      <c r="AI16" s="12">
        <v>2152317319</v>
      </c>
      <c r="AJ16" s="12">
        <v>2120319441</v>
      </c>
      <c r="AK16" s="12">
        <v>1000504925</v>
      </c>
      <c r="AL16" s="12"/>
    </row>
    <row r="17" spans="1:38" s="13" customFormat="1" ht="12.75">
      <c r="A17" s="29"/>
      <c r="B17" s="38" t="s">
        <v>71</v>
      </c>
      <c r="C17" s="39" t="s">
        <v>72</v>
      </c>
      <c r="D17" s="78">
        <v>2181544665</v>
      </c>
      <c r="E17" s="79">
        <v>582415965</v>
      </c>
      <c r="F17" s="81">
        <f t="shared" si="0"/>
        <v>2763960630</v>
      </c>
      <c r="G17" s="78">
        <v>2284858964</v>
      </c>
      <c r="H17" s="79">
        <v>807538205</v>
      </c>
      <c r="I17" s="81">
        <f t="shared" si="1"/>
        <v>3092397169</v>
      </c>
      <c r="J17" s="78">
        <v>462473330</v>
      </c>
      <c r="K17" s="79">
        <v>112463734</v>
      </c>
      <c r="L17" s="79">
        <f t="shared" si="2"/>
        <v>574937064</v>
      </c>
      <c r="M17" s="40">
        <f t="shared" si="3"/>
        <v>0.20801203090942724</v>
      </c>
      <c r="N17" s="106">
        <v>568387053</v>
      </c>
      <c r="O17" s="107">
        <v>146103174</v>
      </c>
      <c r="P17" s="108">
        <f t="shared" si="4"/>
        <v>714490227</v>
      </c>
      <c r="Q17" s="40">
        <f t="shared" si="5"/>
        <v>0.2585023170174461</v>
      </c>
      <c r="R17" s="106">
        <v>585750232</v>
      </c>
      <c r="S17" s="108">
        <v>91134015</v>
      </c>
      <c r="T17" s="108">
        <f t="shared" si="6"/>
        <v>676884247</v>
      </c>
      <c r="U17" s="40">
        <f t="shared" si="7"/>
        <v>0.21888658215881324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1616610615</v>
      </c>
      <c r="AA17" s="79">
        <f t="shared" si="11"/>
        <v>349700923</v>
      </c>
      <c r="AB17" s="79">
        <f t="shared" si="12"/>
        <v>1966311538</v>
      </c>
      <c r="AC17" s="40">
        <f t="shared" si="13"/>
        <v>0.6358534918190517</v>
      </c>
      <c r="AD17" s="78">
        <v>403125682</v>
      </c>
      <c r="AE17" s="79">
        <v>126291236</v>
      </c>
      <c r="AF17" s="79">
        <f t="shared" si="14"/>
        <v>529416918</v>
      </c>
      <c r="AG17" s="40">
        <f>IF(2671753103=0,0,1749154519/2671753103)</f>
        <v>0.6546841910788641</v>
      </c>
      <c r="AH17" s="40">
        <f t="shared" si="15"/>
        <v>0.2785466878487628</v>
      </c>
      <c r="AI17" s="12">
        <v>2440970843</v>
      </c>
      <c r="AJ17" s="12">
        <v>2671753103</v>
      </c>
      <c r="AK17" s="12">
        <v>1749154519</v>
      </c>
      <c r="AL17" s="12"/>
    </row>
    <row r="18" spans="1:38" s="13" customFormat="1" ht="12.75">
      <c r="A18" s="29"/>
      <c r="B18" s="38" t="s">
        <v>73</v>
      </c>
      <c r="C18" s="39" t="s">
        <v>74</v>
      </c>
      <c r="D18" s="78">
        <v>2593074693</v>
      </c>
      <c r="E18" s="79">
        <v>293360149</v>
      </c>
      <c r="F18" s="81">
        <f t="shared" si="0"/>
        <v>2886434842</v>
      </c>
      <c r="G18" s="78">
        <v>2612195719</v>
      </c>
      <c r="H18" s="79">
        <v>383640412</v>
      </c>
      <c r="I18" s="81">
        <f t="shared" si="1"/>
        <v>2995836131</v>
      </c>
      <c r="J18" s="78">
        <v>595118169</v>
      </c>
      <c r="K18" s="79">
        <v>29401256</v>
      </c>
      <c r="L18" s="79">
        <f t="shared" si="2"/>
        <v>624519425</v>
      </c>
      <c r="M18" s="40">
        <f t="shared" si="3"/>
        <v>0.21636359702728394</v>
      </c>
      <c r="N18" s="106">
        <v>570559221</v>
      </c>
      <c r="O18" s="107">
        <v>96816822</v>
      </c>
      <c r="P18" s="108">
        <f t="shared" si="4"/>
        <v>667376043</v>
      </c>
      <c r="Q18" s="40">
        <f t="shared" si="5"/>
        <v>0.23121119288373668</v>
      </c>
      <c r="R18" s="106">
        <v>550995039</v>
      </c>
      <c r="S18" s="108">
        <v>70149315</v>
      </c>
      <c r="T18" s="108">
        <f t="shared" si="6"/>
        <v>621144354</v>
      </c>
      <c r="U18" s="40">
        <f t="shared" si="7"/>
        <v>0.20733589116326737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1716672429</v>
      </c>
      <c r="AA18" s="79">
        <f t="shared" si="11"/>
        <v>196367393</v>
      </c>
      <c r="AB18" s="79">
        <f t="shared" si="12"/>
        <v>1913039822</v>
      </c>
      <c r="AC18" s="40">
        <f t="shared" si="13"/>
        <v>0.6385662427275132</v>
      </c>
      <c r="AD18" s="78">
        <v>553595422</v>
      </c>
      <c r="AE18" s="79">
        <v>68294498</v>
      </c>
      <c r="AF18" s="79">
        <f t="shared" si="14"/>
        <v>621889920</v>
      </c>
      <c r="AG18" s="40">
        <f>IF(2909216780=0,0,1769451373/2909216780)</f>
        <v>0.6082225928175762</v>
      </c>
      <c r="AH18" s="40">
        <f t="shared" si="15"/>
        <v>-0.0011988713372296234</v>
      </c>
      <c r="AI18" s="12">
        <v>2854403535</v>
      </c>
      <c r="AJ18" s="12">
        <v>2909216780</v>
      </c>
      <c r="AK18" s="12">
        <v>1769451373</v>
      </c>
      <c r="AL18" s="12"/>
    </row>
    <row r="19" spans="1:38" s="13" customFormat="1" ht="12.75">
      <c r="A19" s="29"/>
      <c r="B19" s="38" t="s">
        <v>75</v>
      </c>
      <c r="C19" s="39" t="s">
        <v>76</v>
      </c>
      <c r="D19" s="78">
        <v>4033134434</v>
      </c>
      <c r="E19" s="79">
        <v>709060000</v>
      </c>
      <c r="F19" s="81">
        <f t="shared" si="0"/>
        <v>4742194434</v>
      </c>
      <c r="G19" s="78">
        <v>4236149510</v>
      </c>
      <c r="H19" s="79">
        <v>710287627</v>
      </c>
      <c r="I19" s="81">
        <f t="shared" si="1"/>
        <v>4946437137</v>
      </c>
      <c r="J19" s="78">
        <v>1036570317</v>
      </c>
      <c r="K19" s="79">
        <v>72582551</v>
      </c>
      <c r="L19" s="79">
        <f t="shared" si="2"/>
        <v>1109152868</v>
      </c>
      <c r="M19" s="40">
        <f t="shared" si="3"/>
        <v>0.2338902133678309</v>
      </c>
      <c r="N19" s="106">
        <v>969207216</v>
      </c>
      <c r="O19" s="107">
        <v>148969631</v>
      </c>
      <c r="P19" s="108">
        <f t="shared" si="4"/>
        <v>1118176847</v>
      </c>
      <c r="Q19" s="40">
        <f t="shared" si="5"/>
        <v>0.235793125432191</v>
      </c>
      <c r="R19" s="106">
        <v>884961123</v>
      </c>
      <c r="S19" s="108">
        <v>80232145</v>
      </c>
      <c r="T19" s="108">
        <f t="shared" si="6"/>
        <v>965193268</v>
      </c>
      <c r="U19" s="40">
        <f t="shared" si="7"/>
        <v>0.1951289870400308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2890738656</v>
      </c>
      <c r="AA19" s="79">
        <f t="shared" si="11"/>
        <v>301784327</v>
      </c>
      <c r="AB19" s="79">
        <f t="shared" si="12"/>
        <v>3192522983</v>
      </c>
      <c r="AC19" s="40">
        <f t="shared" si="13"/>
        <v>0.6454186911867349</v>
      </c>
      <c r="AD19" s="78">
        <v>771814097</v>
      </c>
      <c r="AE19" s="79">
        <v>173440534</v>
      </c>
      <c r="AF19" s="79">
        <f t="shared" si="14"/>
        <v>945254631</v>
      </c>
      <c r="AG19" s="40">
        <f>IF(4427104508=0,0,3005009850/4427104508)</f>
        <v>0.6787754489576192</v>
      </c>
      <c r="AH19" s="40">
        <f t="shared" si="15"/>
        <v>0.02109340313827035</v>
      </c>
      <c r="AI19" s="12">
        <v>4097767735</v>
      </c>
      <c r="AJ19" s="12">
        <v>4427104508</v>
      </c>
      <c r="AK19" s="12">
        <v>3005009850</v>
      </c>
      <c r="AL19" s="12"/>
    </row>
    <row r="20" spans="1:38" s="13" customFormat="1" ht="12.75">
      <c r="A20" s="29"/>
      <c r="B20" s="38" t="s">
        <v>77</v>
      </c>
      <c r="C20" s="39" t="s">
        <v>78</v>
      </c>
      <c r="D20" s="78">
        <v>1834687750</v>
      </c>
      <c r="E20" s="79">
        <v>400509490</v>
      </c>
      <c r="F20" s="81">
        <f t="shared" si="0"/>
        <v>2235197240</v>
      </c>
      <c r="G20" s="78">
        <v>1894525000</v>
      </c>
      <c r="H20" s="79">
        <v>389559958</v>
      </c>
      <c r="I20" s="81">
        <f t="shared" si="1"/>
        <v>2284084958</v>
      </c>
      <c r="J20" s="78">
        <v>469223015</v>
      </c>
      <c r="K20" s="79">
        <v>42408572</v>
      </c>
      <c r="L20" s="79">
        <f t="shared" si="2"/>
        <v>511631587</v>
      </c>
      <c r="M20" s="40">
        <f t="shared" si="3"/>
        <v>0.2288977356647058</v>
      </c>
      <c r="N20" s="106">
        <v>448420712</v>
      </c>
      <c r="O20" s="107">
        <v>93179558</v>
      </c>
      <c r="P20" s="108">
        <f t="shared" si="4"/>
        <v>541600270</v>
      </c>
      <c r="Q20" s="40">
        <f t="shared" si="5"/>
        <v>0.24230535914584433</v>
      </c>
      <c r="R20" s="106">
        <v>440128185</v>
      </c>
      <c r="S20" s="108">
        <v>85718785</v>
      </c>
      <c r="T20" s="108">
        <f t="shared" si="6"/>
        <v>525846970</v>
      </c>
      <c r="U20" s="40">
        <f t="shared" si="7"/>
        <v>0.23022215883792882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1357771912</v>
      </c>
      <c r="AA20" s="79">
        <f t="shared" si="11"/>
        <v>221306915</v>
      </c>
      <c r="AB20" s="79">
        <f t="shared" si="12"/>
        <v>1579078827</v>
      </c>
      <c r="AC20" s="40">
        <f t="shared" si="13"/>
        <v>0.6913397951636088</v>
      </c>
      <c r="AD20" s="78">
        <v>394241567</v>
      </c>
      <c r="AE20" s="79">
        <v>61480286</v>
      </c>
      <c r="AF20" s="79">
        <f t="shared" si="14"/>
        <v>455721853</v>
      </c>
      <c r="AG20" s="40">
        <f>IF(2134578984=0,0,1321912072/2134578984)</f>
        <v>0.6192846841970032</v>
      </c>
      <c r="AH20" s="40">
        <f t="shared" si="15"/>
        <v>0.15387701190620762</v>
      </c>
      <c r="AI20" s="12">
        <v>2302697959</v>
      </c>
      <c r="AJ20" s="12">
        <v>2134578984</v>
      </c>
      <c r="AK20" s="12">
        <v>1321912072</v>
      </c>
      <c r="AL20" s="12"/>
    </row>
    <row r="21" spans="1:38" s="13" customFormat="1" ht="12.75">
      <c r="A21" s="29"/>
      <c r="B21" s="38" t="s">
        <v>79</v>
      </c>
      <c r="C21" s="39" t="s">
        <v>80</v>
      </c>
      <c r="D21" s="78">
        <v>2288560000</v>
      </c>
      <c r="E21" s="79">
        <v>580121000</v>
      </c>
      <c r="F21" s="81">
        <f t="shared" si="0"/>
        <v>2868681000</v>
      </c>
      <c r="G21" s="78">
        <v>2321968756</v>
      </c>
      <c r="H21" s="79">
        <v>626285336</v>
      </c>
      <c r="I21" s="81">
        <f t="shared" si="1"/>
        <v>2948254092</v>
      </c>
      <c r="J21" s="78">
        <v>563531098</v>
      </c>
      <c r="K21" s="79">
        <v>49932783</v>
      </c>
      <c r="L21" s="79">
        <f t="shared" si="2"/>
        <v>613463881</v>
      </c>
      <c r="M21" s="40">
        <f t="shared" si="3"/>
        <v>0.21384876220116492</v>
      </c>
      <c r="N21" s="106">
        <v>545402319</v>
      </c>
      <c r="O21" s="107">
        <v>109444012</v>
      </c>
      <c r="P21" s="108">
        <f t="shared" si="4"/>
        <v>654846331</v>
      </c>
      <c r="Q21" s="40">
        <f t="shared" si="5"/>
        <v>0.22827436407185045</v>
      </c>
      <c r="R21" s="106">
        <v>557000778</v>
      </c>
      <c r="S21" s="108">
        <v>159573653</v>
      </c>
      <c r="T21" s="108">
        <f t="shared" si="6"/>
        <v>716574431</v>
      </c>
      <c r="U21" s="40">
        <f t="shared" si="7"/>
        <v>0.24305043209959531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1665934195</v>
      </c>
      <c r="AA21" s="79">
        <f t="shared" si="11"/>
        <v>318950448</v>
      </c>
      <c r="AB21" s="79">
        <f t="shared" si="12"/>
        <v>1984884643</v>
      </c>
      <c r="AC21" s="40">
        <f t="shared" si="13"/>
        <v>0.6732406980748117</v>
      </c>
      <c r="AD21" s="78">
        <v>492877195</v>
      </c>
      <c r="AE21" s="79">
        <v>98138532</v>
      </c>
      <c r="AF21" s="79">
        <f t="shared" si="14"/>
        <v>591015727</v>
      </c>
      <c r="AG21" s="40">
        <f>IF(2900603966=0,0,1826466797/2900603966)</f>
        <v>0.6296849960936721</v>
      </c>
      <c r="AH21" s="40">
        <f t="shared" si="15"/>
        <v>0.21244562244956988</v>
      </c>
      <c r="AI21" s="12">
        <v>2664459999</v>
      </c>
      <c r="AJ21" s="12">
        <v>2900603966</v>
      </c>
      <c r="AK21" s="12">
        <v>1826466797</v>
      </c>
      <c r="AL21" s="12"/>
    </row>
    <row r="22" spans="1:38" s="13" customFormat="1" ht="12.75">
      <c r="A22" s="29"/>
      <c r="B22" s="38" t="s">
        <v>81</v>
      </c>
      <c r="C22" s="39" t="s">
        <v>82</v>
      </c>
      <c r="D22" s="78">
        <v>3567710570</v>
      </c>
      <c r="E22" s="79">
        <v>1063748483</v>
      </c>
      <c r="F22" s="81">
        <f t="shared" si="0"/>
        <v>4631459053</v>
      </c>
      <c r="G22" s="78">
        <v>3567710570</v>
      </c>
      <c r="H22" s="79">
        <v>1063748483</v>
      </c>
      <c r="I22" s="81">
        <f t="shared" si="1"/>
        <v>4631459053</v>
      </c>
      <c r="J22" s="78">
        <v>1006460820</v>
      </c>
      <c r="K22" s="79">
        <v>130695281</v>
      </c>
      <c r="L22" s="79">
        <f t="shared" si="2"/>
        <v>1137156101</v>
      </c>
      <c r="M22" s="40">
        <f t="shared" si="3"/>
        <v>0.2455286958142087</v>
      </c>
      <c r="N22" s="106">
        <v>862958508</v>
      </c>
      <c r="O22" s="107">
        <v>120601804</v>
      </c>
      <c r="P22" s="108">
        <f t="shared" si="4"/>
        <v>983560312</v>
      </c>
      <c r="Q22" s="40">
        <f t="shared" si="5"/>
        <v>0.21236511016175447</v>
      </c>
      <c r="R22" s="106">
        <v>531869344</v>
      </c>
      <c r="S22" s="108">
        <v>182803926</v>
      </c>
      <c r="T22" s="108">
        <f t="shared" si="6"/>
        <v>714673270</v>
      </c>
      <c r="U22" s="40">
        <f t="shared" si="7"/>
        <v>0.1543084504951144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2401288672</v>
      </c>
      <c r="AA22" s="79">
        <f t="shared" si="11"/>
        <v>434101011</v>
      </c>
      <c r="AB22" s="79">
        <f t="shared" si="12"/>
        <v>2835389683</v>
      </c>
      <c r="AC22" s="40">
        <f t="shared" si="13"/>
        <v>0.6122022564710775</v>
      </c>
      <c r="AD22" s="78">
        <v>680932429</v>
      </c>
      <c r="AE22" s="79">
        <v>146610717</v>
      </c>
      <c r="AF22" s="79">
        <f t="shared" si="14"/>
        <v>827543146</v>
      </c>
      <c r="AG22" s="40">
        <f>IF(4656473627=0,0,2649010310/4656473627)</f>
        <v>0.5688876437826328</v>
      </c>
      <c r="AH22" s="40">
        <f t="shared" si="15"/>
        <v>-0.1363915302127341</v>
      </c>
      <c r="AI22" s="12">
        <v>4646363656</v>
      </c>
      <c r="AJ22" s="12">
        <v>4656473627</v>
      </c>
      <c r="AK22" s="12">
        <v>2649010310</v>
      </c>
      <c r="AL22" s="12"/>
    </row>
    <row r="23" spans="1:38" s="13" customFormat="1" ht="12.75">
      <c r="A23" s="29"/>
      <c r="B23" s="38" t="s">
        <v>83</v>
      </c>
      <c r="C23" s="39" t="s">
        <v>84</v>
      </c>
      <c r="D23" s="78">
        <v>1738341779</v>
      </c>
      <c r="E23" s="79">
        <v>111708601</v>
      </c>
      <c r="F23" s="81">
        <f t="shared" si="0"/>
        <v>1850050380</v>
      </c>
      <c r="G23" s="78">
        <v>1753816170</v>
      </c>
      <c r="H23" s="79">
        <v>201018000</v>
      </c>
      <c r="I23" s="81">
        <f t="shared" si="1"/>
        <v>1954834170</v>
      </c>
      <c r="J23" s="78">
        <v>475103945</v>
      </c>
      <c r="K23" s="79">
        <v>20670891</v>
      </c>
      <c r="L23" s="79">
        <f t="shared" si="2"/>
        <v>495774836</v>
      </c>
      <c r="M23" s="40">
        <f t="shared" si="3"/>
        <v>0.2679791001151007</v>
      </c>
      <c r="N23" s="106">
        <v>370164735</v>
      </c>
      <c r="O23" s="107">
        <v>37167344</v>
      </c>
      <c r="P23" s="108">
        <f t="shared" si="4"/>
        <v>407332079</v>
      </c>
      <c r="Q23" s="40">
        <f t="shared" si="5"/>
        <v>0.2201735063020284</v>
      </c>
      <c r="R23" s="106">
        <v>326460836</v>
      </c>
      <c r="S23" s="108">
        <v>23126646</v>
      </c>
      <c r="T23" s="108">
        <f t="shared" si="6"/>
        <v>349587482</v>
      </c>
      <c r="U23" s="40">
        <f t="shared" si="7"/>
        <v>0.17883229552919058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1171729516</v>
      </c>
      <c r="AA23" s="79">
        <f t="shared" si="11"/>
        <v>80964881</v>
      </c>
      <c r="AB23" s="79">
        <f t="shared" si="12"/>
        <v>1252694397</v>
      </c>
      <c r="AC23" s="40">
        <f t="shared" si="13"/>
        <v>0.6408187539508786</v>
      </c>
      <c r="AD23" s="78">
        <v>314628679</v>
      </c>
      <c r="AE23" s="79">
        <v>26949098</v>
      </c>
      <c r="AF23" s="79">
        <f t="shared" si="14"/>
        <v>341577777</v>
      </c>
      <c r="AG23" s="40">
        <f>IF(1947332833=0,0,1261994159/1947332833)</f>
        <v>0.648062897936051</v>
      </c>
      <c r="AH23" s="40">
        <f t="shared" si="15"/>
        <v>0.023449139666952057</v>
      </c>
      <c r="AI23" s="12">
        <v>1763766005</v>
      </c>
      <c r="AJ23" s="12">
        <v>1947332833</v>
      </c>
      <c r="AK23" s="12">
        <v>1261994159</v>
      </c>
      <c r="AL23" s="12"/>
    </row>
    <row r="24" spans="1:38" s="13" customFormat="1" ht="12.75">
      <c r="A24" s="29"/>
      <c r="B24" s="38" t="s">
        <v>85</v>
      </c>
      <c r="C24" s="39" t="s">
        <v>86</v>
      </c>
      <c r="D24" s="78">
        <v>1274227238</v>
      </c>
      <c r="E24" s="79">
        <v>452759209</v>
      </c>
      <c r="F24" s="81">
        <f t="shared" si="0"/>
        <v>1726986447</v>
      </c>
      <c r="G24" s="78">
        <v>1284671161</v>
      </c>
      <c r="H24" s="79">
        <v>437183144</v>
      </c>
      <c r="I24" s="81">
        <f t="shared" si="1"/>
        <v>1721854305</v>
      </c>
      <c r="J24" s="78">
        <v>197801707</v>
      </c>
      <c r="K24" s="79">
        <v>48711947</v>
      </c>
      <c r="L24" s="79">
        <f t="shared" si="2"/>
        <v>246513654</v>
      </c>
      <c r="M24" s="40">
        <f t="shared" si="3"/>
        <v>0.1427420895098663</v>
      </c>
      <c r="N24" s="106">
        <v>332124043</v>
      </c>
      <c r="O24" s="107">
        <v>56789014</v>
      </c>
      <c r="P24" s="108">
        <f t="shared" si="4"/>
        <v>388913057</v>
      </c>
      <c r="Q24" s="40">
        <f t="shared" si="5"/>
        <v>0.22519751540354735</v>
      </c>
      <c r="R24" s="106">
        <v>265834816</v>
      </c>
      <c r="S24" s="108">
        <v>49287246</v>
      </c>
      <c r="T24" s="108">
        <f t="shared" si="6"/>
        <v>315122062</v>
      </c>
      <c r="U24" s="40">
        <f t="shared" si="7"/>
        <v>0.18301319750743952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795760566</v>
      </c>
      <c r="AA24" s="79">
        <f t="shared" si="11"/>
        <v>154788207</v>
      </c>
      <c r="AB24" s="79">
        <f t="shared" si="12"/>
        <v>950548773</v>
      </c>
      <c r="AC24" s="40">
        <f t="shared" si="13"/>
        <v>0.5520494795870664</v>
      </c>
      <c r="AD24" s="78">
        <v>227659901</v>
      </c>
      <c r="AE24" s="79">
        <v>37201856</v>
      </c>
      <c r="AF24" s="79">
        <f t="shared" si="14"/>
        <v>264861757</v>
      </c>
      <c r="AG24" s="40">
        <f>IF(1410869624=0,0,771793344/1410869624)</f>
        <v>0.547033780351628</v>
      </c>
      <c r="AH24" s="40">
        <f t="shared" si="15"/>
        <v>0.1897605209951092</v>
      </c>
      <c r="AI24" s="12">
        <v>1415400212</v>
      </c>
      <c r="AJ24" s="12">
        <v>1410869624</v>
      </c>
      <c r="AK24" s="12">
        <v>771793344</v>
      </c>
      <c r="AL24" s="12"/>
    </row>
    <row r="25" spans="1:38" s="13" customFormat="1" ht="12.75">
      <c r="A25" s="29"/>
      <c r="B25" s="38" t="s">
        <v>87</v>
      </c>
      <c r="C25" s="39" t="s">
        <v>88</v>
      </c>
      <c r="D25" s="78">
        <v>1402830102</v>
      </c>
      <c r="E25" s="79">
        <v>236368760</v>
      </c>
      <c r="F25" s="81">
        <f t="shared" si="0"/>
        <v>1639198862</v>
      </c>
      <c r="G25" s="78">
        <v>1402830102</v>
      </c>
      <c r="H25" s="79">
        <v>278127363</v>
      </c>
      <c r="I25" s="81">
        <f t="shared" si="1"/>
        <v>1680957465</v>
      </c>
      <c r="J25" s="78">
        <v>304671202</v>
      </c>
      <c r="K25" s="79">
        <v>22690997</v>
      </c>
      <c r="L25" s="79">
        <f t="shared" si="2"/>
        <v>327362199</v>
      </c>
      <c r="M25" s="40">
        <f t="shared" si="3"/>
        <v>0.1997086543853396</v>
      </c>
      <c r="N25" s="106">
        <v>299116518</v>
      </c>
      <c r="O25" s="107">
        <v>47734972</v>
      </c>
      <c r="P25" s="108">
        <f t="shared" si="4"/>
        <v>346851490</v>
      </c>
      <c r="Q25" s="40">
        <f t="shared" si="5"/>
        <v>0.21159817642674766</v>
      </c>
      <c r="R25" s="106">
        <v>286618676</v>
      </c>
      <c r="S25" s="108">
        <v>30732688</v>
      </c>
      <c r="T25" s="108">
        <f t="shared" si="6"/>
        <v>317351364</v>
      </c>
      <c r="U25" s="40">
        <f t="shared" si="7"/>
        <v>0.1887920251450265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890406396</v>
      </c>
      <c r="AA25" s="79">
        <f t="shared" si="11"/>
        <v>101158657</v>
      </c>
      <c r="AB25" s="79">
        <f t="shared" si="12"/>
        <v>991565053</v>
      </c>
      <c r="AC25" s="40">
        <f t="shared" si="13"/>
        <v>0.5898811086216271</v>
      </c>
      <c r="AD25" s="78">
        <v>285142439</v>
      </c>
      <c r="AE25" s="79">
        <v>54392485</v>
      </c>
      <c r="AF25" s="79">
        <f t="shared" si="14"/>
        <v>339534924</v>
      </c>
      <c r="AG25" s="40">
        <f>IF(1553563868=0,0,982569949/1553563868)</f>
        <v>0.6324618956701946</v>
      </c>
      <c r="AH25" s="40">
        <f t="shared" si="15"/>
        <v>-0.06533513471503749</v>
      </c>
      <c r="AI25" s="12">
        <v>1540285351</v>
      </c>
      <c r="AJ25" s="12">
        <v>1553563868</v>
      </c>
      <c r="AK25" s="12">
        <v>982569949</v>
      </c>
      <c r="AL25" s="12"/>
    </row>
    <row r="26" spans="1:38" s="13" customFormat="1" ht="12.75">
      <c r="A26" s="29"/>
      <c r="B26" s="38" t="s">
        <v>89</v>
      </c>
      <c r="C26" s="39" t="s">
        <v>90</v>
      </c>
      <c r="D26" s="78">
        <v>1185132120</v>
      </c>
      <c r="E26" s="79">
        <v>224076728</v>
      </c>
      <c r="F26" s="81">
        <f t="shared" si="0"/>
        <v>1409208848</v>
      </c>
      <c r="G26" s="78">
        <v>1185132120</v>
      </c>
      <c r="H26" s="79">
        <v>224076728</v>
      </c>
      <c r="I26" s="81">
        <f t="shared" si="1"/>
        <v>1409208848</v>
      </c>
      <c r="J26" s="78">
        <v>274097148</v>
      </c>
      <c r="K26" s="79">
        <v>39953662</v>
      </c>
      <c r="L26" s="79">
        <f t="shared" si="2"/>
        <v>314050810</v>
      </c>
      <c r="M26" s="40">
        <f t="shared" si="3"/>
        <v>0.22285611564652907</v>
      </c>
      <c r="N26" s="106">
        <v>349357167</v>
      </c>
      <c r="O26" s="107">
        <v>61834987</v>
      </c>
      <c r="P26" s="108">
        <f t="shared" si="4"/>
        <v>411192154</v>
      </c>
      <c r="Q26" s="40">
        <f t="shared" si="5"/>
        <v>0.29178936435403363</v>
      </c>
      <c r="R26" s="106">
        <v>267230261</v>
      </c>
      <c r="S26" s="108">
        <v>36451763</v>
      </c>
      <c r="T26" s="108">
        <f t="shared" si="6"/>
        <v>303682024</v>
      </c>
      <c r="U26" s="40">
        <f t="shared" si="7"/>
        <v>0.2154982382001053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890684576</v>
      </c>
      <c r="AA26" s="79">
        <f t="shared" si="11"/>
        <v>138240412</v>
      </c>
      <c r="AB26" s="79">
        <f t="shared" si="12"/>
        <v>1028924988</v>
      </c>
      <c r="AC26" s="40">
        <f t="shared" si="13"/>
        <v>0.730143718200668</v>
      </c>
      <c r="AD26" s="78">
        <v>253256380</v>
      </c>
      <c r="AE26" s="79">
        <v>51190920</v>
      </c>
      <c r="AF26" s="79">
        <f t="shared" si="14"/>
        <v>304447300</v>
      </c>
      <c r="AG26" s="40">
        <f>IF(1448343636=0,0,980134290/1448343636)</f>
        <v>0.6767277223704389</v>
      </c>
      <c r="AH26" s="40">
        <f t="shared" si="15"/>
        <v>-0.0025136567149717237</v>
      </c>
      <c r="AI26" s="12">
        <v>1341136221</v>
      </c>
      <c r="AJ26" s="12">
        <v>1448343636</v>
      </c>
      <c r="AK26" s="12">
        <v>980134290</v>
      </c>
      <c r="AL26" s="12"/>
    </row>
    <row r="27" spans="1:38" s="13" customFormat="1" ht="12.75">
      <c r="A27" s="29"/>
      <c r="B27" s="41" t="s">
        <v>91</v>
      </c>
      <c r="C27" s="39" t="s">
        <v>92</v>
      </c>
      <c r="D27" s="78">
        <v>2519363600</v>
      </c>
      <c r="E27" s="79">
        <v>448780800</v>
      </c>
      <c r="F27" s="81">
        <f t="shared" si="0"/>
        <v>2968144400</v>
      </c>
      <c r="G27" s="78">
        <v>2474870700</v>
      </c>
      <c r="H27" s="79">
        <v>510260500</v>
      </c>
      <c r="I27" s="81">
        <f t="shared" si="1"/>
        <v>2985131200</v>
      </c>
      <c r="J27" s="78">
        <v>593476088</v>
      </c>
      <c r="K27" s="79">
        <v>35737340</v>
      </c>
      <c r="L27" s="79">
        <f t="shared" si="2"/>
        <v>629213428</v>
      </c>
      <c r="M27" s="40">
        <f t="shared" si="3"/>
        <v>0.21198881968141442</v>
      </c>
      <c r="N27" s="106">
        <v>528180641</v>
      </c>
      <c r="O27" s="107">
        <v>64063951</v>
      </c>
      <c r="P27" s="108">
        <f t="shared" si="4"/>
        <v>592244592</v>
      </c>
      <c r="Q27" s="40">
        <f t="shared" si="5"/>
        <v>0.19953361837786598</v>
      </c>
      <c r="R27" s="106">
        <v>748279090</v>
      </c>
      <c r="S27" s="108">
        <v>150412207</v>
      </c>
      <c r="T27" s="108">
        <f t="shared" si="6"/>
        <v>898691297</v>
      </c>
      <c r="U27" s="40">
        <f t="shared" si="7"/>
        <v>0.3010558788839834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1869935819</v>
      </c>
      <c r="AA27" s="79">
        <f t="shared" si="11"/>
        <v>250213498</v>
      </c>
      <c r="AB27" s="79">
        <f t="shared" si="12"/>
        <v>2120149317</v>
      </c>
      <c r="AC27" s="40">
        <f t="shared" si="13"/>
        <v>0.7102365607916998</v>
      </c>
      <c r="AD27" s="78">
        <v>569769488</v>
      </c>
      <c r="AE27" s="79">
        <v>64986658</v>
      </c>
      <c r="AF27" s="79">
        <f t="shared" si="14"/>
        <v>634756146</v>
      </c>
      <c r="AG27" s="40">
        <f>IF(2826246900=0,0,1966947115/2826246900)</f>
        <v>0.6959572834914034</v>
      </c>
      <c r="AH27" s="40">
        <f t="shared" si="15"/>
        <v>0.4158055855988514</v>
      </c>
      <c r="AI27" s="12">
        <v>2783109400</v>
      </c>
      <c r="AJ27" s="12">
        <v>2826246900</v>
      </c>
      <c r="AK27" s="12">
        <v>1966947115</v>
      </c>
      <c r="AL27" s="12"/>
    </row>
    <row r="28" spans="1:38" s="13" customFormat="1" ht="12.75">
      <c r="A28" s="42"/>
      <c r="B28" s="43" t="s">
        <v>655</v>
      </c>
      <c r="C28" s="42"/>
      <c r="D28" s="82">
        <f>SUM(D9:D27)</f>
        <v>43495895088</v>
      </c>
      <c r="E28" s="83">
        <f>SUM(E9:E27)</f>
        <v>7144285655</v>
      </c>
      <c r="F28" s="84">
        <f t="shared" si="0"/>
        <v>50640180743</v>
      </c>
      <c r="G28" s="82">
        <f>SUM(G9:G27)</f>
        <v>44273092145</v>
      </c>
      <c r="H28" s="83">
        <f>SUM(H9:H27)</f>
        <v>7907189498</v>
      </c>
      <c r="I28" s="84">
        <f t="shared" si="1"/>
        <v>52180281643</v>
      </c>
      <c r="J28" s="82">
        <f>SUM(J9:J27)</f>
        <v>9138158992</v>
      </c>
      <c r="K28" s="83">
        <f>SUM(K9:K27)</f>
        <v>797477598</v>
      </c>
      <c r="L28" s="83">
        <f t="shared" si="2"/>
        <v>9935636590</v>
      </c>
      <c r="M28" s="44">
        <f t="shared" si="3"/>
        <v>0.19620065418849053</v>
      </c>
      <c r="N28" s="109">
        <f>SUM(N9:N27)</f>
        <v>10067656726</v>
      </c>
      <c r="O28" s="110">
        <f>SUM(O9:O27)</f>
        <v>1289903712</v>
      </c>
      <c r="P28" s="111">
        <f t="shared" si="4"/>
        <v>11357560438</v>
      </c>
      <c r="Q28" s="44">
        <f t="shared" si="5"/>
        <v>0.22427961889867382</v>
      </c>
      <c r="R28" s="109">
        <f>SUM(R9:R27)</f>
        <v>9480289424</v>
      </c>
      <c r="S28" s="111">
        <f>SUM(S9:S27)</f>
        <v>1249920972</v>
      </c>
      <c r="T28" s="111">
        <f t="shared" si="6"/>
        <v>10730210396</v>
      </c>
      <c r="U28" s="44">
        <f t="shared" si="7"/>
        <v>0.2056372648467577</v>
      </c>
      <c r="V28" s="109">
        <f>SUM(V9:V27)</f>
        <v>0</v>
      </c>
      <c r="W28" s="111">
        <f>SUM(W9:W27)</f>
        <v>0</v>
      </c>
      <c r="X28" s="111">
        <f t="shared" si="8"/>
        <v>0</v>
      </c>
      <c r="Y28" s="44">
        <f t="shared" si="9"/>
        <v>0</v>
      </c>
      <c r="Z28" s="82">
        <f t="shared" si="10"/>
        <v>28686105142</v>
      </c>
      <c r="AA28" s="83">
        <f t="shared" si="11"/>
        <v>3337302282</v>
      </c>
      <c r="AB28" s="83">
        <f t="shared" si="12"/>
        <v>32023407424</v>
      </c>
      <c r="AC28" s="44">
        <f t="shared" si="13"/>
        <v>0.6137070635818607</v>
      </c>
      <c r="AD28" s="82">
        <f>SUM(AD9:AD27)</f>
        <v>8620282284</v>
      </c>
      <c r="AE28" s="83">
        <f>SUM(AE9:AE27)</f>
        <v>1208139929</v>
      </c>
      <c r="AF28" s="83">
        <f t="shared" si="14"/>
        <v>9828422213</v>
      </c>
      <c r="AG28" s="44">
        <f>IF(2826246900=0,0,1966947115/2826246900)</f>
        <v>0.6959572834914034</v>
      </c>
      <c r="AH28" s="44">
        <f t="shared" si="15"/>
        <v>0.09175309764442252</v>
      </c>
      <c r="AI28" s="12">
        <f>SUM(AI9:AI27)</f>
        <v>46238324229</v>
      </c>
      <c r="AJ28" s="12">
        <f>SUM(AJ9:AJ27)</f>
        <v>47990643708</v>
      </c>
      <c r="AK28" s="12">
        <f>SUM(AK9:AK27)</f>
        <v>29537845719</v>
      </c>
      <c r="AL28" s="12"/>
    </row>
    <row r="29" spans="1:38" s="13" customFormat="1" ht="12.75" customHeight="1">
      <c r="A29" s="45"/>
      <c r="B29" s="46"/>
      <c r="C29" s="47"/>
      <c r="D29" s="85"/>
      <c r="E29" s="86"/>
      <c r="F29" s="87"/>
      <c r="G29" s="85"/>
      <c r="H29" s="86"/>
      <c r="I29" s="87"/>
      <c r="J29" s="88"/>
      <c r="K29" s="86"/>
      <c r="L29" s="87"/>
      <c r="M29" s="48"/>
      <c r="N29" s="88"/>
      <c r="O29" s="87"/>
      <c r="P29" s="86"/>
      <c r="Q29" s="48"/>
      <c r="R29" s="88"/>
      <c r="S29" s="86"/>
      <c r="T29" s="86"/>
      <c r="U29" s="48"/>
      <c r="V29" s="88"/>
      <c r="W29" s="86"/>
      <c r="X29" s="86"/>
      <c r="Y29" s="48"/>
      <c r="Z29" s="88"/>
      <c r="AA29" s="86"/>
      <c r="AB29" s="87"/>
      <c r="AC29" s="48"/>
      <c r="AD29" s="88"/>
      <c r="AE29" s="86"/>
      <c r="AF29" s="86"/>
      <c r="AG29" s="48"/>
      <c r="AH29" s="48"/>
      <c r="AI29" s="12"/>
      <c r="AJ29" s="12"/>
      <c r="AK29" s="12"/>
      <c r="AL29" s="12"/>
    </row>
    <row r="30" spans="1:38" s="13" customFormat="1" ht="12.75">
      <c r="A30" s="12"/>
      <c r="B30" s="49"/>
      <c r="C30" s="12"/>
      <c r="D30" s="89"/>
      <c r="E30" s="89"/>
      <c r="F30" s="89"/>
      <c r="G30" s="89"/>
      <c r="H30" s="89"/>
      <c r="I30" s="89"/>
      <c r="J30" s="89"/>
      <c r="K30" s="89"/>
      <c r="L30" s="89"/>
      <c r="M30" s="12"/>
      <c r="N30" s="89"/>
      <c r="O30" s="89"/>
      <c r="P30" s="89"/>
      <c r="Q30" s="12"/>
      <c r="R30" s="89"/>
      <c r="S30" s="89"/>
      <c r="T30" s="89"/>
      <c r="U30" s="12"/>
      <c r="V30" s="89"/>
      <c r="W30" s="89"/>
      <c r="X30" s="89"/>
      <c r="Y30" s="12"/>
      <c r="Z30" s="89"/>
      <c r="AA30" s="89"/>
      <c r="AB30" s="89"/>
      <c r="AC30" s="12"/>
      <c r="AD30" s="89"/>
      <c r="AE30" s="89"/>
      <c r="AF30" s="89"/>
      <c r="AG30" s="12"/>
      <c r="AH30" s="12"/>
      <c r="AI30" s="12"/>
      <c r="AJ30" s="12"/>
      <c r="AK30" s="12"/>
      <c r="AL30" s="12"/>
    </row>
    <row r="31" spans="1:38" ht="12.75">
      <c r="A31" s="2"/>
      <c r="B31" s="2"/>
      <c r="C31" s="2"/>
      <c r="D31" s="90"/>
      <c r="E31" s="90"/>
      <c r="F31" s="90"/>
      <c r="G31" s="90"/>
      <c r="H31" s="90"/>
      <c r="I31" s="90"/>
      <c r="J31" s="90"/>
      <c r="K31" s="90"/>
      <c r="L31" s="90"/>
      <c r="M31" s="2"/>
      <c r="N31" s="90"/>
      <c r="O31" s="90"/>
      <c r="P31" s="90"/>
      <c r="Q31" s="2"/>
      <c r="R31" s="90"/>
      <c r="S31" s="90"/>
      <c r="T31" s="90"/>
      <c r="U31" s="2"/>
      <c r="V31" s="90"/>
      <c r="W31" s="90"/>
      <c r="X31" s="90"/>
      <c r="Y31" s="2"/>
      <c r="Z31" s="90"/>
      <c r="AA31" s="90"/>
      <c r="AB31" s="90"/>
      <c r="AC31" s="2"/>
      <c r="AD31" s="90"/>
      <c r="AE31" s="90"/>
      <c r="AF31" s="90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0"/>
      <c r="E32" s="90"/>
      <c r="F32" s="90"/>
      <c r="G32" s="90"/>
      <c r="H32" s="90"/>
      <c r="I32" s="90"/>
      <c r="J32" s="90"/>
      <c r="K32" s="90"/>
      <c r="L32" s="90"/>
      <c r="M32" s="2"/>
      <c r="N32" s="90"/>
      <c r="O32" s="90"/>
      <c r="P32" s="90"/>
      <c r="Q32" s="2"/>
      <c r="R32" s="90"/>
      <c r="S32" s="90"/>
      <c r="T32" s="90"/>
      <c r="U32" s="2"/>
      <c r="V32" s="90"/>
      <c r="W32" s="90"/>
      <c r="X32" s="90"/>
      <c r="Y32" s="2"/>
      <c r="Z32" s="90"/>
      <c r="AA32" s="90"/>
      <c r="AB32" s="90"/>
      <c r="AC32" s="2"/>
      <c r="AD32" s="90"/>
      <c r="AE32" s="90"/>
      <c r="AF32" s="90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0"/>
      <c r="E33" s="90"/>
      <c r="F33" s="90"/>
      <c r="G33" s="90"/>
      <c r="H33" s="90"/>
      <c r="I33" s="90"/>
      <c r="J33" s="90"/>
      <c r="K33" s="90"/>
      <c r="L33" s="90"/>
      <c r="M33" s="2"/>
      <c r="N33" s="90"/>
      <c r="O33" s="90"/>
      <c r="P33" s="90"/>
      <c r="Q33" s="2"/>
      <c r="R33" s="90"/>
      <c r="S33" s="90"/>
      <c r="T33" s="90"/>
      <c r="U33" s="2"/>
      <c r="V33" s="90"/>
      <c r="W33" s="90"/>
      <c r="X33" s="90"/>
      <c r="Y33" s="2"/>
      <c r="Z33" s="90"/>
      <c r="AA33" s="90"/>
      <c r="AB33" s="90"/>
      <c r="AC33" s="2"/>
      <c r="AD33" s="90"/>
      <c r="AE33" s="90"/>
      <c r="AF33" s="90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0"/>
      <c r="E34" s="90"/>
      <c r="F34" s="90"/>
      <c r="G34" s="90"/>
      <c r="H34" s="90"/>
      <c r="I34" s="90"/>
      <c r="J34" s="90"/>
      <c r="K34" s="90"/>
      <c r="L34" s="90"/>
      <c r="M34" s="2"/>
      <c r="N34" s="90"/>
      <c r="O34" s="90"/>
      <c r="P34" s="90"/>
      <c r="Q34" s="2"/>
      <c r="R34" s="90"/>
      <c r="S34" s="90"/>
      <c r="T34" s="90"/>
      <c r="U34" s="2"/>
      <c r="V34" s="90"/>
      <c r="W34" s="90"/>
      <c r="X34" s="90"/>
      <c r="Y34" s="2"/>
      <c r="Z34" s="90"/>
      <c r="AA34" s="90"/>
      <c r="AB34" s="90"/>
      <c r="AC34" s="2"/>
      <c r="AD34" s="90"/>
      <c r="AE34" s="90"/>
      <c r="AF34" s="90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90"/>
      <c r="O35" s="90"/>
      <c r="P35" s="90"/>
      <c r="Q35" s="2"/>
      <c r="R35" s="90"/>
      <c r="S35" s="90"/>
      <c r="T35" s="90"/>
      <c r="U35" s="2"/>
      <c r="V35" s="90"/>
      <c r="W35" s="90"/>
      <c r="X35" s="90"/>
      <c r="Y35" s="2"/>
      <c r="Z35" s="90"/>
      <c r="AA35" s="90"/>
      <c r="AB35" s="90"/>
      <c r="AC35" s="2"/>
      <c r="AD35" s="90"/>
      <c r="AE35" s="90"/>
      <c r="AF35" s="90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0"/>
      <c r="E36" s="90"/>
      <c r="F36" s="90"/>
      <c r="G36" s="90"/>
      <c r="H36" s="90"/>
      <c r="I36" s="90"/>
      <c r="J36" s="90"/>
      <c r="K36" s="90"/>
      <c r="L36" s="90"/>
      <c r="M36" s="2"/>
      <c r="N36" s="90"/>
      <c r="O36" s="90"/>
      <c r="P36" s="90"/>
      <c r="Q36" s="2"/>
      <c r="R36" s="90"/>
      <c r="S36" s="90"/>
      <c r="T36" s="90"/>
      <c r="U36" s="2"/>
      <c r="V36" s="90"/>
      <c r="W36" s="90"/>
      <c r="X36" s="90"/>
      <c r="Y36" s="2"/>
      <c r="Z36" s="90"/>
      <c r="AA36" s="90"/>
      <c r="AB36" s="90"/>
      <c r="AC36" s="2"/>
      <c r="AD36" s="90"/>
      <c r="AE36" s="90"/>
      <c r="AF36" s="90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0"/>
      <c r="E37" s="90"/>
      <c r="F37" s="90"/>
      <c r="G37" s="90"/>
      <c r="H37" s="90"/>
      <c r="I37" s="90"/>
      <c r="J37" s="90"/>
      <c r="K37" s="90"/>
      <c r="L37" s="90"/>
      <c r="M37" s="2"/>
      <c r="N37" s="90"/>
      <c r="O37" s="90"/>
      <c r="P37" s="90"/>
      <c r="Q37" s="2"/>
      <c r="R37" s="90"/>
      <c r="S37" s="90"/>
      <c r="T37" s="90"/>
      <c r="U37" s="2"/>
      <c r="V37" s="90"/>
      <c r="W37" s="90"/>
      <c r="X37" s="90"/>
      <c r="Y37" s="2"/>
      <c r="Z37" s="90"/>
      <c r="AA37" s="90"/>
      <c r="AB37" s="90"/>
      <c r="AC37" s="2"/>
      <c r="AD37" s="90"/>
      <c r="AE37" s="90"/>
      <c r="AF37" s="90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0"/>
      <c r="E38" s="90"/>
      <c r="F38" s="90"/>
      <c r="G38" s="90"/>
      <c r="H38" s="90"/>
      <c r="I38" s="90"/>
      <c r="J38" s="90"/>
      <c r="K38" s="90"/>
      <c r="L38" s="90"/>
      <c r="M38" s="2"/>
      <c r="N38" s="90"/>
      <c r="O38" s="90"/>
      <c r="P38" s="90"/>
      <c r="Q38" s="2"/>
      <c r="R38" s="90"/>
      <c r="S38" s="90"/>
      <c r="T38" s="90"/>
      <c r="U38" s="2"/>
      <c r="V38" s="90"/>
      <c r="W38" s="90"/>
      <c r="X38" s="90"/>
      <c r="Y38" s="2"/>
      <c r="Z38" s="90"/>
      <c r="AA38" s="90"/>
      <c r="AB38" s="90"/>
      <c r="AC38" s="2"/>
      <c r="AD38" s="90"/>
      <c r="AE38" s="90"/>
      <c r="AF38" s="90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:38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:38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:38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:38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:38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  <row r="90" spans="1:38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</row>
    <row r="91" spans="1:38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</row>
    <row r="92" spans="1:38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</row>
    <row r="93" spans="1:38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</row>
    <row r="94" spans="1:38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5" width="10.7109375" style="3" hidden="1" customWidth="1"/>
    <col min="36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20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93</v>
      </c>
      <c r="B9" s="61" t="s">
        <v>39</v>
      </c>
      <c r="C9" s="39" t="s">
        <v>40</v>
      </c>
      <c r="D9" s="78">
        <v>5718685322</v>
      </c>
      <c r="E9" s="79">
        <v>1275354230</v>
      </c>
      <c r="F9" s="80">
        <f>$D9+$E9</f>
        <v>6994039552</v>
      </c>
      <c r="G9" s="78">
        <v>5723893865</v>
      </c>
      <c r="H9" s="79">
        <v>1380149467</v>
      </c>
      <c r="I9" s="81">
        <f>$G9+$H9</f>
        <v>7104043332</v>
      </c>
      <c r="J9" s="78">
        <v>1270254181</v>
      </c>
      <c r="K9" s="79">
        <v>99583135</v>
      </c>
      <c r="L9" s="79">
        <f>$J9+$K9</f>
        <v>1369837316</v>
      </c>
      <c r="M9" s="40">
        <f>IF($F9=0,0,$L9/$F9)</f>
        <v>0.19585781661876425</v>
      </c>
      <c r="N9" s="106">
        <v>1301395127</v>
      </c>
      <c r="O9" s="107">
        <v>298378641</v>
      </c>
      <c r="P9" s="108">
        <f>$N9+$O9</f>
        <v>1599773768</v>
      </c>
      <c r="Q9" s="40">
        <f>IF($F9=0,0,$P9/$F9)</f>
        <v>0.2287338749096053</v>
      </c>
      <c r="R9" s="106">
        <v>1309166210</v>
      </c>
      <c r="S9" s="108">
        <v>229470444</v>
      </c>
      <c r="T9" s="108">
        <f>$R9+$S9</f>
        <v>1538636654</v>
      </c>
      <c r="U9" s="40">
        <f>IF($I9=0,0,$T9/$I9)</f>
        <v>0.21658604573387757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3880815518</v>
      </c>
      <c r="AA9" s="79">
        <f>$K9+$O9+$S9</f>
        <v>627432220</v>
      </c>
      <c r="AB9" s="79">
        <f>$Z9+$AA9</f>
        <v>4508247738</v>
      </c>
      <c r="AC9" s="40">
        <f>IF($I9=0,0,$AB9/$I9)</f>
        <v>0.6346030742369915</v>
      </c>
      <c r="AD9" s="78">
        <v>1122102957</v>
      </c>
      <c r="AE9" s="79">
        <v>181562771</v>
      </c>
      <c r="AF9" s="79">
        <f>$AD9+$AE9</f>
        <v>1303665728</v>
      </c>
      <c r="AG9" s="40">
        <f>IF(6059174220=0,0,4044194233/6059174220)</f>
        <v>0.6674497359146738</v>
      </c>
      <c r="AH9" s="40">
        <f>IF($AF9=0,0,(($T9/$AF9)-1))</f>
        <v>0.18023863092610193</v>
      </c>
      <c r="AI9" s="12">
        <v>5691707861</v>
      </c>
      <c r="AJ9" s="12">
        <v>6059174220</v>
      </c>
      <c r="AK9" s="12">
        <v>4044194233</v>
      </c>
      <c r="AL9" s="12"/>
    </row>
    <row r="10" spans="1:38" s="13" customFormat="1" ht="12.75">
      <c r="A10" s="29" t="s">
        <v>93</v>
      </c>
      <c r="B10" s="61" t="s">
        <v>51</v>
      </c>
      <c r="C10" s="39" t="s">
        <v>52</v>
      </c>
      <c r="D10" s="78">
        <v>8819839296</v>
      </c>
      <c r="E10" s="79">
        <v>1612510043</v>
      </c>
      <c r="F10" s="80">
        <f aca="true" t="shared" si="0" ref="F10:F41">$D10+$E10</f>
        <v>10432349339</v>
      </c>
      <c r="G10" s="78">
        <v>9321591236</v>
      </c>
      <c r="H10" s="79">
        <v>1573441238</v>
      </c>
      <c r="I10" s="81">
        <f aca="true" t="shared" si="1" ref="I10:I41">$G10+$H10</f>
        <v>10895032474</v>
      </c>
      <c r="J10" s="78">
        <v>2219412902</v>
      </c>
      <c r="K10" s="79">
        <v>178262691</v>
      </c>
      <c r="L10" s="79">
        <f aca="true" t="shared" si="2" ref="L10:L41">$J10+$K10</f>
        <v>2397675593</v>
      </c>
      <c r="M10" s="40">
        <f aca="true" t="shared" si="3" ref="M10:M41">IF($F10=0,0,$L10/$F10)</f>
        <v>0.2298308382021485</v>
      </c>
      <c r="N10" s="106">
        <v>2081267588</v>
      </c>
      <c r="O10" s="107">
        <v>341700783</v>
      </c>
      <c r="P10" s="108">
        <f aca="true" t="shared" si="4" ref="P10:P41">$N10+$O10</f>
        <v>2422968371</v>
      </c>
      <c r="Q10" s="40">
        <f aca="true" t="shared" si="5" ref="Q10:Q41">IF($F10=0,0,$P10/$F10)</f>
        <v>0.23225529478216794</v>
      </c>
      <c r="R10" s="106">
        <v>2024644512</v>
      </c>
      <c r="S10" s="108">
        <v>257016414</v>
      </c>
      <c r="T10" s="108">
        <f aca="true" t="shared" si="6" ref="T10:T41">$R10+$S10</f>
        <v>2281660926</v>
      </c>
      <c r="U10" s="40">
        <f aca="true" t="shared" si="7" ref="U10:U41">IF($I10=0,0,$T10/$I10)</f>
        <v>0.2094221317325098</v>
      </c>
      <c r="V10" s="106">
        <v>0</v>
      </c>
      <c r="W10" s="108">
        <v>0</v>
      </c>
      <c r="X10" s="108">
        <f aca="true" t="shared" si="8" ref="X10:X41">$V10+$W10</f>
        <v>0</v>
      </c>
      <c r="Y10" s="40">
        <f aca="true" t="shared" si="9" ref="Y10:Y41">IF($I10=0,0,$X10/$I10)</f>
        <v>0</v>
      </c>
      <c r="Z10" s="78">
        <f aca="true" t="shared" si="10" ref="Z10:Z41">$J10+$N10+$R10</f>
        <v>6325325002</v>
      </c>
      <c r="AA10" s="79">
        <f aca="true" t="shared" si="11" ref="AA10:AA41">$K10+$O10+$S10</f>
        <v>776979888</v>
      </c>
      <c r="AB10" s="79">
        <f aca="true" t="shared" si="12" ref="AB10:AB41">$Z10+$AA10</f>
        <v>7102304890</v>
      </c>
      <c r="AC10" s="40">
        <f aca="true" t="shared" si="13" ref="AC10:AC41">IF($I10=0,0,$AB10/$I10)</f>
        <v>0.6518846921245074</v>
      </c>
      <c r="AD10" s="78">
        <v>1808414129</v>
      </c>
      <c r="AE10" s="79">
        <v>290938560</v>
      </c>
      <c r="AF10" s="79">
        <f aca="true" t="shared" si="14" ref="AF10:AF41">$AD10+$AE10</f>
        <v>2099352689</v>
      </c>
      <c r="AG10" s="40">
        <f>IF(10248017334=0,0,6564730829/10248017334)</f>
        <v>0.6405854532681258</v>
      </c>
      <c r="AH10" s="40">
        <f aca="true" t="shared" si="15" ref="AH10:AH41">IF($AF10=0,0,(($T10/$AF10)-1))</f>
        <v>0.08684021410754017</v>
      </c>
      <c r="AI10" s="12">
        <v>9698617568</v>
      </c>
      <c r="AJ10" s="12">
        <v>10248017334</v>
      </c>
      <c r="AK10" s="12">
        <v>6564730829</v>
      </c>
      <c r="AL10" s="12"/>
    </row>
    <row r="11" spans="1:38" s="57" customFormat="1" ht="12.75">
      <c r="A11" s="62"/>
      <c r="B11" s="63" t="s">
        <v>94</v>
      </c>
      <c r="C11" s="32"/>
      <c r="D11" s="82">
        <f>SUM(D9:D10)</f>
        <v>14538524618</v>
      </c>
      <c r="E11" s="83">
        <f>SUM(E9:E10)</f>
        <v>2887864273</v>
      </c>
      <c r="F11" s="84">
        <f t="shared" si="0"/>
        <v>17426388891</v>
      </c>
      <c r="G11" s="82">
        <f>SUM(G9:G10)</f>
        <v>15045485101</v>
      </c>
      <c r="H11" s="83">
        <f>SUM(H9:H10)</f>
        <v>2953590705</v>
      </c>
      <c r="I11" s="84">
        <f t="shared" si="1"/>
        <v>17999075806</v>
      </c>
      <c r="J11" s="82">
        <f>SUM(J9:J10)</f>
        <v>3489667083</v>
      </c>
      <c r="K11" s="83">
        <f>SUM(K9:K10)</f>
        <v>277845826</v>
      </c>
      <c r="L11" s="83">
        <f t="shared" si="2"/>
        <v>3767512909</v>
      </c>
      <c r="M11" s="44">
        <f t="shared" si="3"/>
        <v>0.21619584714683848</v>
      </c>
      <c r="N11" s="112">
        <f>SUM(N9:N10)</f>
        <v>3382662715</v>
      </c>
      <c r="O11" s="113">
        <f>SUM(O9:O10)</f>
        <v>640079424</v>
      </c>
      <c r="P11" s="114">
        <f t="shared" si="4"/>
        <v>4022742139</v>
      </c>
      <c r="Q11" s="44">
        <f t="shared" si="5"/>
        <v>0.2308419813285343</v>
      </c>
      <c r="R11" s="112">
        <f>SUM(R9:R10)</f>
        <v>3333810722</v>
      </c>
      <c r="S11" s="114">
        <f>SUM(S9:S10)</f>
        <v>486486858</v>
      </c>
      <c r="T11" s="114">
        <f t="shared" si="6"/>
        <v>3820297580</v>
      </c>
      <c r="U11" s="44">
        <f t="shared" si="7"/>
        <v>0.21224965221417103</v>
      </c>
      <c r="V11" s="112">
        <f>SUM(V9:V10)</f>
        <v>0</v>
      </c>
      <c r="W11" s="114">
        <f>SUM(W9:W10)</f>
        <v>0</v>
      </c>
      <c r="X11" s="114">
        <f t="shared" si="8"/>
        <v>0</v>
      </c>
      <c r="Y11" s="44">
        <f t="shared" si="9"/>
        <v>0</v>
      </c>
      <c r="Z11" s="82">
        <f t="shared" si="10"/>
        <v>10206140520</v>
      </c>
      <c r="AA11" s="83">
        <f t="shared" si="11"/>
        <v>1404412108</v>
      </c>
      <c r="AB11" s="83">
        <f t="shared" si="12"/>
        <v>11610552628</v>
      </c>
      <c r="AC11" s="44">
        <f t="shared" si="13"/>
        <v>0.645063821784095</v>
      </c>
      <c r="AD11" s="82">
        <f>SUM(AD9:AD10)</f>
        <v>2930517086</v>
      </c>
      <c r="AE11" s="83">
        <f>SUM(AE9:AE10)</f>
        <v>472501331</v>
      </c>
      <c r="AF11" s="83">
        <f t="shared" si="14"/>
        <v>3403018417</v>
      </c>
      <c r="AG11" s="44">
        <f>IF(10248017334=0,0,6564730829/10248017334)</f>
        <v>0.6405854532681258</v>
      </c>
      <c r="AH11" s="44">
        <f t="shared" si="15"/>
        <v>0.12262030699435966</v>
      </c>
      <c r="AI11" s="64">
        <f>SUM(AI9:AI10)</f>
        <v>15390325429</v>
      </c>
      <c r="AJ11" s="64">
        <f>SUM(AJ9:AJ10)</f>
        <v>16307191554</v>
      </c>
      <c r="AK11" s="64">
        <f>SUM(AK9:AK10)</f>
        <v>10608925062</v>
      </c>
      <c r="AL11" s="64"/>
    </row>
    <row r="12" spans="1:38" s="13" customFormat="1" ht="12.75">
      <c r="A12" s="29" t="s">
        <v>95</v>
      </c>
      <c r="B12" s="61" t="s">
        <v>96</v>
      </c>
      <c r="C12" s="39" t="s">
        <v>97</v>
      </c>
      <c r="D12" s="78">
        <v>254815755</v>
      </c>
      <c r="E12" s="79">
        <v>46040952</v>
      </c>
      <c r="F12" s="80">
        <f t="shared" si="0"/>
        <v>300856707</v>
      </c>
      <c r="G12" s="78">
        <v>268956785</v>
      </c>
      <c r="H12" s="79">
        <v>35890952</v>
      </c>
      <c r="I12" s="81">
        <f t="shared" si="1"/>
        <v>304847737</v>
      </c>
      <c r="J12" s="78">
        <v>50388336</v>
      </c>
      <c r="K12" s="79">
        <v>4841203</v>
      </c>
      <c r="L12" s="79">
        <f t="shared" si="2"/>
        <v>55229539</v>
      </c>
      <c r="M12" s="40">
        <f t="shared" si="3"/>
        <v>0.18357423223408478</v>
      </c>
      <c r="N12" s="106">
        <v>60245918</v>
      </c>
      <c r="O12" s="107">
        <v>6821280</v>
      </c>
      <c r="P12" s="108">
        <f t="shared" si="4"/>
        <v>67067198</v>
      </c>
      <c r="Q12" s="40">
        <f t="shared" si="5"/>
        <v>0.22292073415534658</v>
      </c>
      <c r="R12" s="106">
        <v>56676705</v>
      </c>
      <c r="S12" s="108">
        <v>7941463</v>
      </c>
      <c r="T12" s="108">
        <f t="shared" si="6"/>
        <v>64618168</v>
      </c>
      <c r="U12" s="40">
        <f t="shared" si="7"/>
        <v>0.2119686655243237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167310959</v>
      </c>
      <c r="AA12" s="79">
        <f t="shared" si="11"/>
        <v>19603946</v>
      </c>
      <c r="AB12" s="79">
        <f t="shared" si="12"/>
        <v>186914905</v>
      </c>
      <c r="AC12" s="40">
        <f t="shared" si="13"/>
        <v>0.6131418485812804</v>
      </c>
      <c r="AD12" s="78">
        <v>69801119</v>
      </c>
      <c r="AE12" s="79">
        <v>3611324</v>
      </c>
      <c r="AF12" s="79">
        <f t="shared" si="14"/>
        <v>73412443</v>
      </c>
      <c r="AG12" s="40">
        <f>IF(290510932=0,0,177876089/290510932)</f>
        <v>0.6122870756546952</v>
      </c>
      <c r="AH12" s="40">
        <f t="shared" si="15"/>
        <v>-0.11979270326148939</v>
      </c>
      <c r="AI12" s="12">
        <v>266301625</v>
      </c>
      <c r="AJ12" s="12">
        <v>290510932</v>
      </c>
      <c r="AK12" s="12">
        <v>177876089</v>
      </c>
      <c r="AL12" s="12"/>
    </row>
    <row r="13" spans="1:38" s="13" customFormat="1" ht="12.75">
      <c r="A13" s="29" t="s">
        <v>95</v>
      </c>
      <c r="B13" s="61" t="s">
        <v>98</v>
      </c>
      <c r="C13" s="39" t="s">
        <v>99</v>
      </c>
      <c r="D13" s="78">
        <v>222336780</v>
      </c>
      <c r="E13" s="79">
        <v>25342900</v>
      </c>
      <c r="F13" s="80">
        <f t="shared" si="0"/>
        <v>247679680</v>
      </c>
      <c r="G13" s="78">
        <v>210072060</v>
      </c>
      <c r="H13" s="79">
        <v>20010500</v>
      </c>
      <c r="I13" s="81">
        <f t="shared" si="1"/>
        <v>230082560</v>
      </c>
      <c r="J13" s="78">
        <v>49624607</v>
      </c>
      <c r="K13" s="79">
        <v>9851823</v>
      </c>
      <c r="L13" s="79">
        <f t="shared" si="2"/>
        <v>59476430</v>
      </c>
      <c r="M13" s="40">
        <f t="shared" si="3"/>
        <v>0.24013447530293966</v>
      </c>
      <c r="N13" s="106">
        <v>58854354</v>
      </c>
      <c r="O13" s="107">
        <v>1282244</v>
      </c>
      <c r="P13" s="108">
        <f t="shared" si="4"/>
        <v>60136598</v>
      </c>
      <c r="Q13" s="40">
        <f t="shared" si="5"/>
        <v>0.24279988572336655</v>
      </c>
      <c r="R13" s="106">
        <v>52283374</v>
      </c>
      <c r="S13" s="108">
        <v>4068768</v>
      </c>
      <c r="T13" s="108">
        <f t="shared" si="6"/>
        <v>56352142</v>
      </c>
      <c r="U13" s="40">
        <f t="shared" si="7"/>
        <v>0.2449213969107437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160762335</v>
      </c>
      <c r="AA13" s="79">
        <f t="shared" si="11"/>
        <v>15202835</v>
      </c>
      <c r="AB13" s="79">
        <f t="shared" si="12"/>
        <v>175965170</v>
      </c>
      <c r="AC13" s="40">
        <f t="shared" si="13"/>
        <v>0.764791429650296</v>
      </c>
      <c r="AD13" s="78">
        <v>57785949</v>
      </c>
      <c r="AE13" s="79">
        <v>3782244</v>
      </c>
      <c r="AF13" s="79">
        <f t="shared" si="14"/>
        <v>61568193</v>
      </c>
      <c r="AG13" s="40">
        <f>IF(258129592=0,0,175441261/258129592)</f>
        <v>0.6796634963107988</v>
      </c>
      <c r="AH13" s="40">
        <f t="shared" si="15"/>
        <v>-0.08471989749642317</v>
      </c>
      <c r="AI13" s="12">
        <v>238880592</v>
      </c>
      <c r="AJ13" s="12">
        <v>258129592</v>
      </c>
      <c r="AK13" s="12">
        <v>175441261</v>
      </c>
      <c r="AL13" s="12"/>
    </row>
    <row r="14" spans="1:38" s="13" customFormat="1" ht="12.75">
      <c r="A14" s="29" t="s">
        <v>95</v>
      </c>
      <c r="B14" s="61" t="s">
        <v>100</v>
      </c>
      <c r="C14" s="39" t="s">
        <v>101</v>
      </c>
      <c r="D14" s="78">
        <v>53364870</v>
      </c>
      <c r="E14" s="79">
        <v>16072749</v>
      </c>
      <c r="F14" s="80">
        <f t="shared" si="0"/>
        <v>69437619</v>
      </c>
      <c r="G14" s="78">
        <v>49504768</v>
      </c>
      <c r="H14" s="79">
        <v>16004447</v>
      </c>
      <c r="I14" s="81">
        <f t="shared" si="1"/>
        <v>65509215</v>
      </c>
      <c r="J14" s="78">
        <v>7428826</v>
      </c>
      <c r="K14" s="79">
        <v>3950421</v>
      </c>
      <c r="L14" s="79">
        <f t="shared" si="2"/>
        <v>11379247</v>
      </c>
      <c r="M14" s="40">
        <f t="shared" si="3"/>
        <v>0.16387726370629155</v>
      </c>
      <c r="N14" s="106">
        <v>5089028</v>
      </c>
      <c r="O14" s="107">
        <v>1993112</v>
      </c>
      <c r="P14" s="108">
        <f t="shared" si="4"/>
        <v>7082140</v>
      </c>
      <c r="Q14" s="40">
        <f t="shared" si="5"/>
        <v>0.10199284050911941</v>
      </c>
      <c r="R14" s="106">
        <v>0</v>
      </c>
      <c r="S14" s="108">
        <v>2457786</v>
      </c>
      <c r="T14" s="108">
        <f t="shared" si="6"/>
        <v>2457786</v>
      </c>
      <c r="U14" s="40">
        <f t="shared" si="7"/>
        <v>0.037518172061747346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12517854</v>
      </c>
      <c r="AA14" s="79">
        <f t="shared" si="11"/>
        <v>8401319</v>
      </c>
      <c r="AB14" s="79">
        <f t="shared" si="12"/>
        <v>20919173</v>
      </c>
      <c r="AC14" s="40">
        <f t="shared" si="13"/>
        <v>0.3193317611881015</v>
      </c>
      <c r="AD14" s="78">
        <v>8185906</v>
      </c>
      <c r="AE14" s="79">
        <v>5062670</v>
      </c>
      <c r="AF14" s="79">
        <f t="shared" si="14"/>
        <v>13248576</v>
      </c>
      <c r="AG14" s="40">
        <f>IF(67096733=0,0,36741501/67096733)</f>
        <v>0.5475900145540619</v>
      </c>
      <c r="AH14" s="40">
        <f t="shared" si="15"/>
        <v>-0.814486779560309</v>
      </c>
      <c r="AI14" s="12">
        <v>52475419</v>
      </c>
      <c r="AJ14" s="12">
        <v>67096733</v>
      </c>
      <c r="AK14" s="12">
        <v>36741501</v>
      </c>
      <c r="AL14" s="12"/>
    </row>
    <row r="15" spans="1:38" s="13" customFormat="1" ht="12.75">
      <c r="A15" s="29" t="s">
        <v>95</v>
      </c>
      <c r="B15" s="61" t="s">
        <v>102</v>
      </c>
      <c r="C15" s="39" t="s">
        <v>103</v>
      </c>
      <c r="D15" s="78">
        <v>427637531</v>
      </c>
      <c r="E15" s="79">
        <v>191855298</v>
      </c>
      <c r="F15" s="80">
        <f t="shared" si="0"/>
        <v>619492829</v>
      </c>
      <c r="G15" s="78">
        <v>437919730</v>
      </c>
      <c r="H15" s="79">
        <v>85078000</v>
      </c>
      <c r="I15" s="81">
        <f t="shared" si="1"/>
        <v>522997730</v>
      </c>
      <c r="J15" s="78">
        <v>62513078</v>
      </c>
      <c r="K15" s="79">
        <v>6832668</v>
      </c>
      <c r="L15" s="79">
        <f t="shared" si="2"/>
        <v>69345746</v>
      </c>
      <c r="M15" s="40">
        <f t="shared" si="3"/>
        <v>0.11193954595396939</v>
      </c>
      <c r="N15" s="106">
        <v>88972132</v>
      </c>
      <c r="O15" s="107">
        <v>12429384</v>
      </c>
      <c r="P15" s="108">
        <f t="shared" si="4"/>
        <v>101401516</v>
      </c>
      <c r="Q15" s="40">
        <f t="shared" si="5"/>
        <v>0.16368472927069186</v>
      </c>
      <c r="R15" s="106">
        <v>75088859</v>
      </c>
      <c r="S15" s="108">
        <v>7288286</v>
      </c>
      <c r="T15" s="108">
        <f t="shared" si="6"/>
        <v>82377145</v>
      </c>
      <c r="U15" s="40">
        <f t="shared" si="7"/>
        <v>0.1575095650988772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226574069</v>
      </c>
      <c r="AA15" s="79">
        <f t="shared" si="11"/>
        <v>26550338</v>
      </c>
      <c r="AB15" s="79">
        <f t="shared" si="12"/>
        <v>253124407</v>
      </c>
      <c r="AC15" s="40">
        <f t="shared" si="13"/>
        <v>0.4839875825082453</v>
      </c>
      <c r="AD15" s="78">
        <v>120047245</v>
      </c>
      <c r="AE15" s="79">
        <v>2457481</v>
      </c>
      <c r="AF15" s="79">
        <f t="shared" si="14"/>
        <v>122504726</v>
      </c>
      <c r="AG15" s="40">
        <f>IF(573865710=0,0,257516006/573865710)</f>
        <v>0.4487391414273559</v>
      </c>
      <c r="AH15" s="40">
        <f t="shared" si="15"/>
        <v>-0.32755945268593145</v>
      </c>
      <c r="AI15" s="12">
        <v>445689393</v>
      </c>
      <c r="AJ15" s="12">
        <v>573865710</v>
      </c>
      <c r="AK15" s="12">
        <v>257516006</v>
      </c>
      <c r="AL15" s="12"/>
    </row>
    <row r="16" spans="1:38" s="13" customFormat="1" ht="12.75">
      <c r="A16" s="29" t="s">
        <v>95</v>
      </c>
      <c r="B16" s="61" t="s">
        <v>104</v>
      </c>
      <c r="C16" s="39" t="s">
        <v>105</v>
      </c>
      <c r="D16" s="78">
        <v>327186868</v>
      </c>
      <c r="E16" s="79">
        <v>36736956</v>
      </c>
      <c r="F16" s="80">
        <f t="shared" si="0"/>
        <v>363923824</v>
      </c>
      <c r="G16" s="78">
        <v>334614989</v>
      </c>
      <c r="H16" s="79">
        <v>31642456</v>
      </c>
      <c r="I16" s="81">
        <f t="shared" si="1"/>
        <v>366257445</v>
      </c>
      <c r="J16" s="78">
        <v>66164245</v>
      </c>
      <c r="K16" s="79">
        <v>5623454</v>
      </c>
      <c r="L16" s="79">
        <f t="shared" si="2"/>
        <v>71787699</v>
      </c>
      <c r="M16" s="40">
        <f t="shared" si="3"/>
        <v>0.19726023487816505</v>
      </c>
      <c r="N16" s="106">
        <v>81659361</v>
      </c>
      <c r="O16" s="107">
        <v>13537093</v>
      </c>
      <c r="P16" s="108">
        <f t="shared" si="4"/>
        <v>95196454</v>
      </c>
      <c r="Q16" s="40">
        <f t="shared" si="5"/>
        <v>0.2615834625874892</v>
      </c>
      <c r="R16" s="106">
        <v>73062278</v>
      </c>
      <c r="S16" s="108">
        <v>6325435</v>
      </c>
      <c r="T16" s="108">
        <f t="shared" si="6"/>
        <v>79387713</v>
      </c>
      <c r="U16" s="40">
        <f t="shared" si="7"/>
        <v>0.21675385465543232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220885884</v>
      </c>
      <c r="AA16" s="79">
        <f t="shared" si="11"/>
        <v>25485982</v>
      </c>
      <c r="AB16" s="79">
        <f t="shared" si="12"/>
        <v>246371866</v>
      </c>
      <c r="AC16" s="40">
        <f t="shared" si="13"/>
        <v>0.6726740148585921</v>
      </c>
      <c r="AD16" s="78">
        <v>66433274</v>
      </c>
      <c r="AE16" s="79">
        <v>9142236</v>
      </c>
      <c r="AF16" s="79">
        <f t="shared" si="14"/>
        <v>75575510</v>
      </c>
      <c r="AG16" s="40">
        <f>IF(265459320=0,0,270436927/265459320)</f>
        <v>1.0187509219868416</v>
      </c>
      <c r="AH16" s="40">
        <f t="shared" si="15"/>
        <v>0.05044230597980759</v>
      </c>
      <c r="AI16" s="12">
        <v>265459320</v>
      </c>
      <c r="AJ16" s="12">
        <v>265459320</v>
      </c>
      <c r="AK16" s="12">
        <v>270436927</v>
      </c>
      <c r="AL16" s="12"/>
    </row>
    <row r="17" spans="1:38" s="13" customFormat="1" ht="12.75">
      <c r="A17" s="29" t="s">
        <v>95</v>
      </c>
      <c r="B17" s="61" t="s">
        <v>106</v>
      </c>
      <c r="C17" s="39" t="s">
        <v>107</v>
      </c>
      <c r="D17" s="78">
        <v>159218121</v>
      </c>
      <c r="E17" s="79">
        <v>45064826</v>
      </c>
      <c r="F17" s="80">
        <f t="shared" si="0"/>
        <v>204282947</v>
      </c>
      <c r="G17" s="78">
        <v>200414797</v>
      </c>
      <c r="H17" s="79">
        <v>33847850</v>
      </c>
      <c r="I17" s="81">
        <f t="shared" si="1"/>
        <v>234262647</v>
      </c>
      <c r="J17" s="78">
        <v>39294145</v>
      </c>
      <c r="K17" s="79">
        <v>11626382</v>
      </c>
      <c r="L17" s="79">
        <f t="shared" si="2"/>
        <v>50920527</v>
      </c>
      <c r="M17" s="40">
        <f t="shared" si="3"/>
        <v>0.2492646975569625</v>
      </c>
      <c r="N17" s="106">
        <v>23692570</v>
      </c>
      <c r="O17" s="107">
        <v>2987996</v>
      </c>
      <c r="P17" s="108">
        <f t="shared" si="4"/>
        <v>26680566</v>
      </c>
      <c r="Q17" s="40">
        <f t="shared" si="5"/>
        <v>0.13060593843890456</v>
      </c>
      <c r="R17" s="106">
        <v>32245052</v>
      </c>
      <c r="S17" s="108">
        <v>5233764</v>
      </c>
      <c r="T17" s="108">
        <f t="shared" si="6"/>
        <v>37478816</v>
      </c>
      <c r="U17" s="40">
        <f t="shared" si="7"/>
        <v>0.15998630801776947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95231767</v>
      </c>
      <c r="AA17" s="79">
        <f t="shared" si="11"/>
        <v>19848142</v>
      </c>
      <c r="AB17" s="79">
        <f t="shared" si="12"/>
        <v>115079909</v>
      </c>
      <c r="AC17" s="40">
        <f t="shared" si="13"/>
        <v>0.49124310031381146</v>
      </c>
      <c r="AD17" s="78">
        <v>26004652</v>
      </c>
      <c r="AE17" s="79">
        <v>2631245</v>
      </c>
      <c r="AF17" s="79">
        <f t="shared" si="14"/>
        <v>28635897</v>
      </c>
      <c r="AG17" s="40">
        <f>IF(169805157=0,0,84777847/169805157)</f>
        <v>0.49926544339286466</v>
      </c>
      <c r="AH17" s="40">
        <f t="shared" si="15"/>
        <v>0.30880537808890707</v>
      </c>
      <c r="AI17" s="12">
        <v>172465224</v>
      </c>
      <c r="AJ17" s="12">
        <v>169805157</v>
      </c>
      <c r="AK17" s="12">
        <v>84777847</v>
      </c>
      <c r="AL17" s="12"/>
    </row>
    <row r="18" spans="1:38" s="13" customFormat="1" ht="12.75">
      <c r="A18" s="29" t="s">
        <v>95</v>
      </c>
      <c r="B18" s="61" t="s">
        <v>108</v>
      </c>
      <c r="C18" s="39" t="s">
        <v>109</v>
      </c>
      <c r="D18" s="78">
        <v>78032340</v>
      </c>
      <c r="E18" s="79">
        <v>31449000</v>
      </c>
      <c r="F18" s="80">
        <f t="shared" si="0"/>
        <v>109481340</v>
      </c>
      <c r="G18" s="78">
        <v>78232633</v>
      </c>
      <c r="H18" s="79">
        <v>34256667</v>
      </c>
      <c r="I18" s="81">
        <f t="shared" si="1"/>
        <v>112489300</v>
      </c>
      <c r="J18" s="78">
        <v>16094395</v>
      </c>
      <c r="K18" s="79">
        <v>9653790</v>
      </c>
      <c r="L18" s="79">
        <f t="shared" si="2"/>
        <v>25748185</v>
      </c>
      <c r="M18" s="40">
        <f t="shared" si="3"/>
        <v>0.23518331982418192</v>
      </c>
      <c r="N18" s="106">
        <v>23205212</v>
      </c>
      <c r="O18" s="107">
        <v>8000142</v>
      </c>
      <c r="P18" s="108">
        <f t="shared" si="4"/>
        <v>31205354</v>
      </c>
      <c r="Q18" s="40">
        <f t="shared" si="5"/>
        <v>0.2850289738872396</v>
      </c>
      <c r="R18" s="106">
        <v>12665782</v>
      </c>
      <c r="S18" s="108">
        <v>10965515</v>
      </c>
      <c r="T18" s="108">
        <f t="shared" si="6"/>
        <v>23631297</v>
      </c>
      <c r="U18" s="40">
        <f t="shared" si="7"/>
        <v>0.21007595389072561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51965389</v>
      </c>
      <c r="AA18" s="79">
        <f t="shared" si="11"/>
        <v>28619447</v>
      </c>
      <c r="AB18" s="79">
        <f t="shared" si="12"/>
        <v>80584836</v>
      </c>
      <c r="AC18" s="40">
        <f t="shared" si="13"/>
        <v>0.7163777888208034</v>
      </c>
      <c r="AD18" s="78">
        <v>14065670</v>
      </c>
      <c r="AE18" s="79">
        <v>14230085</v>
      </c>
      <c r="AF18" s="79">
        <f t="shared" si="14"/>
        <v>28295755</v>
      </c>
      <c r="AG18" s="40">
        <f>IF(117073474=0,0,64676801/117073474)</f>
        <v>0.5524462441423751</v>
      </c>
      <c r="AH18" s="40">
        <f t="shared" si="15"/>
        <v>-0.1648465644404965</v>
      </c>
      <c r="AI18" s="12">
        <v>112380083</v>
      </c>
      <c r="AJ18" s="12">
        <v>117073474</v>
      </c>
      <c r="AK18" s="12">
        <v>64676801</v>
      </c>
      <c r="AL18" s="12"/>
    </row>
    <row r="19" spans="1:38" s="13" customFormat="1" ht="12.75">
      <c r="A19" s="29" t="s">
        <v>95</v>
      </c>
      <c r="B19" s="61" t="s">
        <v>110</v>
      </c>
      <c r="C19" s="39" t="s">
        <v>111</v>
      </c>
      <c r="D19" s="78">
        <v>689244395</v>
      </c>
      <c r="E19" s="79">
        <v>63570000</v>
      </c>
      <c r="F19" s="80">
        <f t="shared" si="0"/>
        <v>752814395</v>
      </c>
      <c r="G19" s="78">
        <v>643764264</v>
      </c>
      <c r="H19" s="79">
        <v>104506300</v>
      </c>
      <c r="I19" s="81">
        <f t="shared" si="1"/>
        <v>748270564</v>
      </c>
      <c r="J19" s="78">
        <v>133184256</v>
      </c>
      <c r="K19" s="79">
        <v>2323579</v>
      </c>
      <c r="L19" s="79">
        <f t="shared" si="2"/>
        <v>135507835</v>
      </c>
      <c r="M19" s="40">
        <f t="shared" si="3"/>
        <v>0.18000165233291002</v>
      </c>
      <c r="N19" s="106">
        <v>142196975</v>
      </c>
      <c r="O19" s="107">
        <v>18459686</v>
      </c>
      <c r="P19" s="108">
        <f t="shared" si="4"/>
        <v>160656661</v>
      </c>
      <c r="Q19" s="40">
        <f t="shared" si="5"/>
        <v>0.21340806189020867</v>
      </c>
      <c r="R19" s="106">
        <v>124810252</v>
      </c>
      <c r="S19" s="108">
        <v>45222846</v>
      </c>
      <c r="T19" s="108">
        <f t="shared" si="6"/>
        <v>170033098</v>
      </c>
      <c r="U19" s="40">
        <f t="shared" si="7"/>
        <v>0.22723478134842146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400191483</v>
      </c>
      <c r="AA19" s="79">
        <f t="shared" si="11"/>
        <v>66006111</v>
      </c>
      <c r="AB19" s="79">
        <f t="shared" si="12"/>
        <v>466197594</v>
      </c>
      <c r="AC19" s="40">
        <f t="shared" si="13"/>
        <v>0.623033453979355</v>
      </c>
      <c r="AD19" s="78">
        <v>115699525</v>
      </c>
      <c r="AE19" s="79">
        <v>9679147</v>
      </c>
      <c r="AF19" s="79">
        <f t="shared" si="14"/>
        <v>125378672</v>
      </c>
      <c r="AG19" s="40">
        <f>IF(744840939=0,0,399597846/744840939)</f>
        <v>0.5364874902505863</v>
      </c>
      <c r="AH19" s="40">
        <f t="shared" si="15"/>
        <v>0.3561564761190006</v>
      </c>
      <c r="AI19" s="12">
        <v>732766625</v>
      </c>
      <c r="AJ19" s="12">
        <v>744840939</v>
      </c>
      <c r="AK19" s="12">
        <v>399597846</v>
      </c>
      <c r="AL19" s="12"/>
    </row>
    <row r="20" spans="1:38" s="13" customFormat="1" ht="12.75">
      <c r="A20" s="29" t="s">
        <v>95</v>
      </c>
      <c r="B20" s="61" t="s">
        <v>112</v>
      </c>
      <c r="C20" s="39" t="s">
        <v>113</v>
      </c>
      <c r="D20" s="78">
        <v>130876360</v>
      </c>
      <c r="E20" s="79">
        <v>19280650</v>
      </c>
      <c r="F20" s="80">
        <f t="shared" si="0"/>
        <v>150157010</v>
      </c>
      <c r="G20" s="78">
        <v>132854127</v>
      </c>
      <c r="H20" s="79">
        <v>39334213</v>
      </c>
      <c r="I20" s="81">
        <f t="shared" si="1"/>
        <v>172188340</v>
      </c>
      <c r="J20" s="78">
        <v>15240799</v>
      </c>
      <c r="K20" s="79">
        <v>2898737</v>
      </c>
      <c r="L20" s="79">
        <f t="shared" si="2"/>
        <v>18139536</v>
      </c>
      <c r="M20" s="40">
        <f t="shared" si="3"/>
        <v>0.1208037906455383</v>
      </c>
      <c r="N20" s="106">
        <v>20836327</v>
      </c>
      <c r="O20" s="107">
        <v>3783733</v>
      </c>
      <c r="P20" s="108">
        <f t="shared" si="4"/>
        <v>24620060</v>
      </c>
      <c r="Q20" s="40">
        <f t="shared" si="5"/>
        <v>0.16396210872872335</v>
      </c>
      <c r="R20" s="106">
        <v>39619090</v>
      </c>
      <c r="S20" s="108">
        <v>1553146</v>
      </c>
      <c r="T20" s="108">
        <f t="shared" si="6"/>
        <v>41172236</v>
      </c>
      <c r="U20" s="40">
        <f t="shared" si="7"/>
        <v>0.23911163787280834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75696216</v>
      </c>
      <c r="AA20" s="79">
        <f t="shared" si="11"/>
        <v>8235616</v>
      </c>
      <c r="AB20" s="79">
        <f t="shared" si="12"/>
        <v>83931832</v>
      </c>
      <c r="AC20" s="40">
        <f t="shared" si="13"/>
        <v>0.4874420184316778</v>
      </c>
      <c r="AD20" s="78">
        <v>20476081</v>
      </c>
      <c r="AE20" s="79">
        <v>3497243</v>
      </c>
      <c r="AF20" s="79">
        <f t="shared" si="14"/>
        <v>23973324</v>
      </c>
      <c r="AG20" s="40">
        <f>IF(146890157=0,0,85176433/146890157)</f>
        <v>0.5798648101383675</v>
      </c>
      <c r="AH20" s="40">
        <f t="shared" si="15"/>
        <v>0.7174187442675868</v>
      </c>
      <c r="AI20" s="12">
        <v>112144893</v>
      </c>
      <c r="AJ20" s="12">
        <v>146890157</v>
      </c>
      <c r="AK20" s="12">
        <v>85176433</v>
      </c>
      <c r="AL20" s="12"/>
    </row>
    <row r="21" spans="1:38" s="13" customFormat="1" ht="12.75">
      <c r="A21" s="29" t="s">
        <v>114</v>
      </c>
      <c r="B21" s="61" t="s">
        <v>115</v>
      </c>
      <c r="C21" s="39" t="s">
        <v>116</v>
      </c>
      <c r="D21" s="78">
        <v>145393300</v>
      </c>
      <c r="E21" s="79">
        <v>5467000</v>
      </c>
      <c r="F21" s="80">
        <f t="shared" si="0"/>
        <v>150860300</v>
      </c>
      <c r="G21" s="78">
        <v>172548120</v>
      </c>
      <c r="H21" s="79">
        <v>5938500</v>
      </c>
      <c r="I21" s="81">
        <f t="shared" si="1"/>
        <v>178486620</v>
      </c>
      <c r="J21" s="78">
        <v>20885407</v>
      </c>
      <c r="K21" s="79">
        <v>1422</v>
      </c>
      <c r="L21" s="79">
        <f t="shared" si="2"/>
        <v>20886829</v>
      </c>
      <c r="M21" s="40">
        <f t="shared" si="3"/>
        <v>0.13845146138513578</v>
      </c>
      <c r="N21" s="106">
        <v>31860706</v>
      </c>
      <c r="O21" s="107">
        <v>162302</v>
      </c>
      <c r="P21" s="108">
        <f t="shared" si="4"/>
        <v>32023008</v>
      </c>
      <c r="Q21" s="40">
        <f t="shared" si="5"/>
        <v>0.2122692848947006</v>
      </c>
      <c r="R21" s="106">
        <v>31821006</v>
      </c>
      <c r="S21" s="108">
        <v>179439</v>
      </c>
      <c r="T21" s="108">
        <f t="shared" si="6"/>
        <v>32000445</v>
      </c>
      <c r="U21" s="40">
        <f t="shared" si="7"/>
        <v>0.17928764072063216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84567119</v>
      </c>
      <c r="AA21" s="79">
        <f t="shared" si="11"/>
        <v>343163</v>
      </c>
      <c r="AB21" s="79">
        <f t="shared" si="12"/>
        <v>84910282</v>
      </c>
      <c r="AC21" s="40">
        <f t="shared" si="13"/>
        <v>0.47572351361687504</v>
      </c>
      <c r="AD21" s="78">
        <v>29240160</v>
      </c>
      <c r="AE21" s="79">
        <v>270511</v>
      </c>
      <c r="AF21" s="79">
        <f t="shared" si="14"/>
        <v>29510671</v>
      </c>
      <c r="AG21" s="40">
        <f>IF(165193550=0,0,83453358/165193550)</f>
        <v>0.5051853295724924</v>
      </c>
      <c r="AH21" s="40">
        <f t="shared" si="15"/>
        <v>0.08436860009045533</v>
      </c>
      <c r="AI21" s="12">
        <v>167439200</v>
      </c>
      <c r="AJ21" s="12">
        <v>165193550</v>
      </c>
      <c r="AK21" s="12">
        <v>83453358</v>
      </c>
      <c r="AL21" s="12"/>
    </row>
    <row r="22" spans="1:38" s="57" customFormat="1" ht="12.75">
      <c r="A22" s="62"/>
      <c r="B22" s="63" t="s">
        <v>117</v>
      </c>
      <c r="C22" s="32"/>
      <c r="D22" s="82">
        <f>SUM(D12:D21)</f>
        <v>2488106320</v>
      </c>
      <c r="E22" s="83">
        <f>SUM(E12:E21)</f>
        <v>480880331</v>
      </c>
      <c r="F22" s="84">
        <f t="shared" si="0"/>
        <v>2968986651</v>
      </c>
      <c r="G22" s="82">
        <f>SUM(G12:G21)</f>
        <v>2528882273</v>
      </c>
      <c r="H22" s="83">
        <f>SUM(H12:H21)</f>
        <v>406509885</v>
      </c>
      <c r="I22" s="84">
        <f t="shared" si="1"/>
        <v>2935392158</v>
      </c>
      <c r="J22" s="82">
        <f>SUM(J12:J21)</f>
        <v>460818094</v>
      </c>
      <c r="K22" s="83">
        <f>SUM(K12:K21)</f>
        <v>57603479</v>
      </c>
      <c r="L22" s="83">
        <f t="shared" si="2"/>
        <v>518421573</v>
      </c>
      <c r="M22" s="44">
        <f t="shared" si="3"/>
        <v>0.17461229501499703</v>
      </c>
      <c r="N22" s="112">
        <f>SUM(N12:N21)</f>
        <v>536612583</v>
      </c>
      <c r="O22" s="113">
        <f>SUM(O12:O21)</f>
        <v>69456972</v>
      </c>
      <c r="P22" s="114">
        <f t="shared" si="4"/>
        <v>606069555</v>
      </c>
      <c r="Q22" s="44">
        <f t="shared" si="5"/>
        <v>0.20413347254217748</v>
      </c>
      <c r="R22" s="112">
        <f>SUM(R12:R21)</f>
        <v>498272398</v>
      </c>
      <c r="S22" s="114">
        <f>SUM(S12:S21)</f>
        <v>91236448</v>
      </c>
      <c r="T22" s="114">
        <f t="shared" si="6"/>
        <v>589508846</v>
      </c>
      <c r="U22" s="44">
        <f t="shared" si="7"/>
        <v>0.2008279692351757</v>
      </c>
      <c r="V22" s="112">
        <f>SUM(V12:V21)</f>
        <v>0</v>
      </c>
      <c r="W22" s="114">
        <f>SUM(W12:W21)</f>
        <v>0</v>
      </c>
      <c r="X22" s="114">
        <f t="shared" si="8"/>
        <v>0</v>
      </c>
      <c r="Y22" s="44">
        <f t="shared" si="9"/>
        <v>0</v>
      </c>
      <c r="Z22" s="82">
        <f t="shared" si="10"/>
        <v>1495703075</v>
      </c>
      <c r="AA22" s="83">
        <f t="shared" si="11"/>
        <v>218296899</v>
      </c>
      <c r="AB22" s="83">
        <f t="shared" si="12"/>
        <v>1713999974</v>
      </c>
      <c r="AC22" s="44">
        <f t="shared" si="13"/>
        <v>0.5839083440107766</v>
      </c>
      <c r="AD22" s="82">
        <f>SUM(AD12:AD21)</f>
        <v>527739581</v>
      </c>
      <c r="AE22" s="83">
        <f>SUM(AE12:AE21)</f>
        <v>54364186</v>
      </c>
      <c r="AF22" s="83">
        <f t="shared" si="14"/>
        <v>582103767</v>
      </c>
      <c r="AG22" s="44">
        <f>IF(165193550=0,0,83453358/165193550)</f>
        <v>0.5051853295724924</v>
      </c>
      <c r="AH22" s="44">
        <f t="shared" si="15"/>
        <v>0.012721235318856827</v>
      </c>
      <c r="AI22" s="64">
        <f>SUM(AI12:AI21)</f>
        <v>2566002374</v>
      </c>
      <c r="AJ22" s="64">
        <f>SUM(AJ12:AJ21)</f>
        <v>2798865564</v>
      </c>
      <c r="AK22" s="64">
        <f>SUM(AK12:AK21)</f>
        <v>1635694069</v>
      </c>
      <c r="AL22" s="64"/>
    </row>
    <row r="23" spans="1:38" s="13" customFormat="1" ht="12.75">
      <c r="A23" s="29" t="s">
        <v>95</v>
      </c>
      <c r="B23" s="61" t="s">
        <v>118</v>
      </c>
      <c r="C23" s="39" t="s">
        <v>119</v>
      </c>
      <c r="D23" s="78">
        <v>258935197</v>
      </c>
      <c r="E23" s="79">
        <v>124099011</v>
      </c>
      <c r="F23" s="80">
        <f t="shared" si="0"/>
        <v>383034208</v>
      </c>
      <c r="G23" s="78">
        <v>264350961</v>
      </c>
      <c r="H23" s="79">
        <v>126114911</v>
      </c>
      <c r="I23" s="81">
        <f t="shared" si="1"/>
        <v>390465872</v>
      </c>
      <c r="J23" s="78">
        <v>50288348</v>
      </c>
      <c r="K23" s="79">
        <v>29222537</v>
      </c>
      <c r="L23" s="79">
        <f t="shared" si="2"/>
        <v>79510885</v>
      </c>
      <c r="M23" s="40">
        <f t="shared" si="3"/>
        <v>0.20758168158181842</v>
      </c>
      <c r="N23" s="106">
        <v>23598679</v>
      </c>
      <c r="O23" s="107">
        <v>66316115</v>
      </c>
      <c r="P23" s="108">
        <f t="shared" si="4"/>
        <v>89914794</v>
      </c>
      <c r="Q23" s="40">
        <f t="shared" si="5"/>
        <v>0.23474350886174636</v>
      </c>
      <c r="R23" s="106">
        <v>60170628</v>
      </c>
      <c r="S23" s="108">
        <v>25327541</v>
      </c>
      <c r="T23" s="108">
        <f t="shared" si="6"/>
        <v>85498169</v>
      </c>
      <c r="U23" s="40">
        <f t="shared" si="7"/>
        <v>0.21896451170513564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134057655</v>
      </c>
      <c r="AA23" s="79">
        <f t="shared" si="11"/>
        <v>120866193</v>
      </c>
      <c r="AB23" s="79">
        <f t="shared" si="12"/>
        <v>254923848</v>
      </c>
      <c r="AC23" s="40">
        <f t="shared" si="13"/>
        <v>0.6528710094284501</v>
      </c>
      <c r="AD23" s="78">
        <v>38923654</v>
      </c>
      <c r="AE23" s="79">
        <v>6158326</v>
      </c>
      <c r="AF23" s="79">
        <f t="shared" si="14"/>
        <v>45081980</v>
      </c>
      <c r="AG23" s="40">
        <f>IF(326906147=0,0,114722497/326906147)</f>
        <v>0.35093404652314475</v>
      </c>
      <c r="AH23" s="40">
        <f t="shared" si="15"/>
        <v>0.8965043017187799</v>
      </c>
      <c r="AI23" s="12">
        <v>282466823</v>
      </c>
      <c r="AJ23" s="12">
        <v>326906147</v>
      </c>
      <c r="AK23" s="12">
        <v>114722497</v>
      </c>
      <c r="AL23" s="12"/>
    </row>
    <row r="24" spans="1:38" s="13" customFormat="1" ht="12.75">
      <c r="A24" s="29" t="s">
        <v>95</v>
      </c>
      <c r="B24" s="61" t="s">
        <v>120</v>
      </c>
      <c r="C24" s="39" t="s">
        <v>121</v>
      </c>
      <c r="D24" s="78">
        <v>301352670</v>
      </c>
      <c r="E24" s="79">
        <v>107806650</v>
      </c>
      <c r="F24" s="80">
        <f t="shared" si="0"/>
        <v>409159320</v>
      </c>
      <c r="G24" s="78">
        <v>323128716</v>
      </c>
      <c r="H24" s="79">
        <v>105067615</v>
      </c>
      <c r="I24" s="81">
        <f t="shared" si="1"/>
        <v>428196331</v>
      </c>
      <c r="J24" s="78">
        <v>61269634</v>
      </c>
      <c r="K24" s="79">
        <v>180521</v>
      </c>
      <c r="L24" s="79">
        <f t="shared" si="2"/>
        <v>61450155</v>
      </c>
      <c r="M24" s="40">
        <f t="shared" si="3"/>
        <v>0.1501863748331579</v>
      </c>
      <c r="N24" s="106">
        <v>52398291</v>
      </c>
      <c r="O24" s="107">
        <v>13248054</v>
      </c>
      <c r="P24" s="108">
        <f t="shared" si="4"/>
        <v>65646345</v>
      </c>
      <c r="Q24" s="40">
        <f t="shared" si="5"/>
        <v>0.16044201315028092</v>
      </c>
      <c r="R24" s="106">
        <v>54461737</v>
      </c>
      <c r="S24" s="108">
        <v>1741112</v>
      </c>
      <c r="T24" s="108">
        <f t="shared" si="6"/>
        <v>56202849</v>
      </c>
      <c r="U24" s="40">
        <f t="shared" si="7"/>
        <v>0.1312548588838796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168129662</v>
      </c>
      <c r="AA24" s="79">
        <f t="shared" si="11"/>
        <v>15169687</v>
      </c>
      <c r="AB24" s="79">
        <f t="shared" si="12"/>
        <v>183299349</v>
      </c>
      <c r="AC24" s="40">
        <f t="shared" si="13"/>
        <v>0.4280731424576359</v>
      </c>
      <c r="AD24" s="78">
        <v>61596837</v>
      </c>
      <c r="AE24" s="79">
        <v>14306271</v>
      </c>
      <c r="AF24" s="79">
        <f t="shared" si="14"/>
        <v>75903108</v>
      </c>
      <c r="AG24" s="40">
        <f>IF(376790012=0,0,176670016/376790012)</f>
        <v>0.4688818980689966</v>
      </c>
      <c r="AH24" s="40">
        <f t="shared" si="15"/>
        <v>-0.2595448265438617</v>
      </c>
      <c r="AI24" s="12">
        <v>336165165</v>
      </c>
      <c r="AJ24" s="12">
        <v>376790012</v>
      </c>
      <c r="AK24" s="12">
        <v>176670016</v>
      </c>
      <c r="AL24" s="12"/>
    </row>
    <row r="25" spans="1:38" s="13" customFormat="1" ht="12.75">
      <c r="A25" s="29" t="s">
        <v>95</v>
      </c>
      <c r="B25" s="61" t="s">
        <v>122</v>
      </c>
      <c r="C25" s="39" t="s">
        <v>123</v>
      </c>
      <c r="D25" s="78">
        <v>114475238</v>
      </c>
      <c r="E25" s="79">
        <v>35152122</v>
      </c>
      <c r="F25" s="80">
        <f t="shared" si="0"/>
        <v>149627360</v>
      </c>
      <c r="G25" s="78">
        <v>120441362</v>
      </c>
      <c r="H25" s="79">
        <v>36149249</v>
      </c>
      <c r="I25" s="81">
        <f t="shared" si="1"/>
        <v>156590611</v>
      </c>
      <c r="J25" s="78">
        <v>17064666</v>
      </c>
      <c r="K25" s="79">
        <v>379188</v>
      </c>
      <c r="L25" s="79">
        <f t="shared" si="2"/>
        <v>17443854</v>
      </c>
      <c r="M25" s="40">
        <f t="shared" si="3"/>
        <v>0.11658198072865818</v>
      </c>
      <c r="N25" s="106">
        <v>23297651</v>
      </c>
      <c r="O25" s="107">
        <v>7772866</v>
      </c>
      <c r="P25" s="108">
        <f t="shared" si="4"/>
        <v>31070517</v>
      </c>
      <c r="Q25" s="40">
        <f t="shared" si="5"/>
        <v>0.20765264454308358</v>
      </c>
      <c r="R25" s="106">
        <v>20321568</v>
      </c>
      <c r="S25" s="108">
        <v>8492345</v>
      </c>
      <c r="T25" s="108">
        <f t="shared" si="6"/>
        <v>28813913</v>
      </c>
      <c r="U25" s="40">
        <f t="shared" si="7"/>
        <v>0.18400792241624245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60683885</v>
      </c>
      <c r="AA25" s="79">
        <f t="shared" si="11"/>
        <v>16644399</v>
      </c>
      <c r="AB25" s="79">
        <f t="shared" si="12"/>
        <v>77328284</v>
      </c>
      <c r="AC25" s="40">
        <f t="shared" si="13"/>
        <v>0.4938245243835213</v>
      </c>
      <c r="AD25" s="78">
        <v>13659919</v>
      </c>
      <c r="AE25" s="79">
        <v>2351456</v>
      </c>
      <c r="AF25" s="79">
        <f t="shared" si="14"/>
        <v>16011375</v>
      </c>
      <c r="AG25" s="40">
        <f>IF(121636406=0,0,53939847/121636406)</f>
        <v>0.4434515025049326</v>
      </c>
      <c r="AH25" s="40">
        <f t="shared" si="15"/>
        <v>0.7995901663660991</v>
      </c>
      <c r="AI25" s="12">
        <v>110666003</v>
      </c>
      <c r="AJ25" s="12">
        <v>121636406</v>
      </c>
      <c r="AK25" s="12">
        <v>53939847</v>
      </c>
      <c r="AL25" s="12"/>
    </row>
    <row r="26" spans="1:38" s="13" customFormat="1" ht="12.75">
      <c r="A26" s="29" t="s">
        <v>95</v>
      </c>
      <c r="B26" s="61" t="s">
        <v>124</v>
      </c>
      <c r="C26" s="39" t="s">
        <v>125</v>
      </c>
      <c r="D26" s="78">
        <v>246391132</v>
      </c>
      <c r="E26" s="79">
        <v>78221650</v>
      </c>
      <c r="F26" s="80">
        <f t="shared" si="0"/>
        <v>324612782</v>
      </c>
      <c r="G26" s="78">
        <v>224442181</v>
      </c>
      <c r="H26" s="79">
        <v>60686595</v>
      </c>
      <c r="I26" s="81">
        <f t="shared" si="1"/>
        <v>285128776</v>
      </c>
      <c r="J26" s="78">
        <v>41540993</v>
      </c>
      <c r="K26" s="79">
        <v>18185338</v>
      </c>
      <c r="L26" s="79">
        <f t="shared" si="2"/>
        <v>59726331</v>
      </c>
      <c r="M26" s="40">
        <f t="shared" si="3"/>
        <v>0.1839925422283587</v>
      </c>
      <c r="N26" s="106">
        <v>51360701</v>
      </c>
      <c r="O26" s="107">
        <v>16929124</v>
      </c>
      <c r="P26" s="108">
        <f t="shared" si="4"/>
        <v>68289825</v>
      </c>
      <c r="Q26" s="40">
        <f t="shared" si="5"/>
        <v>0.21037318548965825</v>
      </c>
      <c r="R26" s="106">
        <v>87190450</v>
      </c>
      <c r="S26" s="108">
        <v>19375665</v>
      </c>
      <c r="T26" s="108">
        <f t="shared" si="6"/>
        <v>106566115</v>
      </c>
      <c r="U26" s="40">
        <f t="shared" si="7"/>
        <v>0.37374731689655905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180092144</v>
      </c>
      <c r="AA26" s="79">
        <f t="shared" si="11"/>
        <v>54490127</v>
      </c>
      <c r="AB26" s="79">
        <f t="shared" si="12"/>
        <v>234582271</v>
      </c>
      <c r="AC26" s="40">
        <f t="shared" si="13"/>
        <v>0.8227239435138599</v>
      </c>
      <c r="AD26" s="78">
        <v>51929194</v>
      </c>
      <c r="AE26" s="79">
        <v>5116681</v>
      </c>
      <c r="AF26" s="79">
        <f t="shared" si="14"/>
        <v>57045875</v>
      </c>
      <c r="AG26" s="40">
        <f>IF(281563294=0,0,174332136/281563294)</f>
        <v>0.6191578935001378</v>
      </c>
      <c r="AH26" s="40">
        <f t="shared" si="15"/>
        <v>0.86807749026551</v>
      </c>
      <c r="AI26" s="12">
        <v>258085240</v>
      </c>
      <c r="AJ26" s="12">
        <v>281563294</v>
      </c>
      <c r="AK26" s="12">
        <v>174332136</v>
      </c>
      <c r="AL26" s="12"/>
    </row>
    <row r="27" spans="1:38" s="13" customFormat="1" ht="12.75">
      <c r="A27" s="29" t="s">
        <v>95</v>
      </c>
      <c r="B27" s="61" t="s">
        <v>126</v>
      </c>
      <c r="C27" s="39" t="s">
        <v>127</v>
      </c>
      <c r="D27" s="78">
        <v>156327732</v>
      </c>
      <c r="E27" s="79">
        <v>31960961</v>
      </c>
      <c r="F27" s="80">
        <f t="shared" si="0"/>
        <v>188288693</v>
      </c>
      <c r="G27" s="78">
        <v>156327732</v>
      </c>
      <c r="H27" s="79">
        <v>31960961</v>
      </c>
      <c r="I27" s="81">
        <f t="shared" si="1"/>
        <v>188288693</v>
      </c>
      <c r="J27" s="78">
        <v>21515146</v>
      </c>
      <c r="K27" s="79">
        <v>2360450</v>
      </c>
      <c r="L27" s="79">
        <f t="shared" si="2"/>
        <v>23875596</v>
      </c>
      <c r="M27" s="40">
        <f t="shared" si="3"/>
        <v>0.12680313203937318</v>
      </c>
      <c r="N27" s="106">
        <v>23653920</v>
      </c>
      <c r="O27" s="107">
        <v>5398636</v>
      </c>
      <c r="P27" s="108">
        <f t="shared" si="4"/>
        <v>29052556</v>
      </c>
      <c r="Q27" s="40">
        <f t="shared" si="5"/>
        <v>0.1542979322714827</v>
      </c>
      <c r="R27" s="106">
        <v>20765295</v>
      </c>
      <c r="S27" s="108">
        <v>8337228</v>
      </c>
      <c r="T27" s="108">
        <f t="shared" si="6"/>
        <v>29102523</v>
      </c>
      <c r="U27" s="40">
        <f t="shared" si="7"/>
        <v>0.15456330667715665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65934361</v>
      </c>
      <c r="AA27" s="79">
        <f t="shared" si="11"/>
        <v>16096314</v>
      </c>
      <c r="AB27" s="79">
        <f t="shared" si="12"/>
        <v>82030675</v>
      </c>
      <c r="AC27" s="40">
        <f t="shared" si="13"/>
        <v>0.43566437098801253</v>
      </c>
      <c r="AD27" s="78">
        <v>22152845</v>
      </c>
      <c r="AE27" s="79">
        <v>4105576</v>
      </c>
      <c r="AF27" s="79">
        <f t="shared" si="14"/>
        <v>26258421</v>
      </c>
      <c r="AG27" s="40">
        <f>IF(135165443=0,0,66267489/135165443)</f>
        <v>0.49026946184758186</v>
      </c>
      <c r="AH27" s="40">
        <f t="shared" si="15"/>
        <v>0.10831199636870781</v>
      </c>
      <c r="AI27" s="12">
        <v>141625136</v>
      </c>
      <c r="AJ27" s="12">
        <v>135165443</v>
      </c>
      <c r="AK27" s="12">
        <v>66267489</v>
      </c>
      <c r="AL27" s="12"/>
    </row>
    <row r="28" spans="1:38" s="13" customFormat="1" ht="12.75">
      <c r="A28" s="29" t="s">
        <v>95</v>
      </c>
      <c r="B28" s="61" t="s">
        <v>128</v>
      </c>
      <c r="C28" s="39" t="s">
        <v>129</v>
      </c>
      <c r="D28" s="78">
        <v>256583550</v>
      </c>
      <c r="E28" s="79">
        <v>56908683</v>
      </c>
      <c r="F28" s="80">
        <f t="shared" si="0"/>
        <v>313492233</v>
      </c>
      <c r="G28" s="78">
        <v>254583736</v>
      </c>
      <c r="H28" s="79">
        <v>56023971</v>
      </c>
      <c r="I28" s="81">
        <f t="shared" si="1"/>
        <v>310607707</v>
      </c>
      <c r="J28" s="78">
        <v>57606531</v>
      </c>
      <c r="K28" s="79">
        <v>13461521</v>
      </c>
      <c r="L28" s="79">
        <f t="shared" si="2"/>
        <v>71068052</v>
      </c>
      <c r="M28" s="40">
        <f t="shared" si="3"/>
        <v>0.22669796734645098</v>
      </c>
      <c r="N28" s="106">
        <v>47461339</v>
      </c>
      <c r="O28" s="107">
        <v>9854537</v>
      </c>
      <c r="P28" s="108">
        <f t="shared" si="4"/>
        <v>57315876</v>
      </c>
      <c r="Q28" s="40">
        <f t="shared" si="5"/>
        <v>0.18283029040786475</v>
      </c>
      <c r="R28" s="106">
        <v>49498257</v>
      </c>
      <c r="S28" s="108">
        <v>11943847</v>
      </c>
      <c r="T28" s="108">
        <f t="shared" si="6"/>
        <v>61442104</v>
      </c>
      <c r="U28" s="40">
        <f t="shared" si="7"/>
        <v>0.19781255459961913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154566127</v>
      </c>
      <c r="AA28" s="79">
        <f t="shared" si="11"/>
        <v>35259905</v>
      </c>
      <c r="AB28" s="79">
        <f t="shared" si="12"/>
        <v>189826032</v>
      </c>
      <c r="AC28" s="40">
        <f t="shared" si="13"/>
        <v>0.6111439855547435</v>
      </c>
      <c r="AD28" s="78">
        <v>46082377</v>
      </c>
      <c r="AE28" s="79">
        <v>8228948</v>
      </c>
      <c r="AF28" s="79">
        <f t="shared" si="14"/>
        <v>54311325</v>
      </c>
      <c r="AG28" s="40">
        <f>IF(231010761=0,0,153709264/231010761)</f>
        <v>0.6653770730619774</v>
      </c>
      <c r="AH28" s="40">
        <f t="shared" si="15"/>
        <v>0.13129451362123823</v>
      </c>
      <c r="AI28" s="12">
        <v>248864180</v>
      </c>
      <c r="AJ28" s="12">
        <v>231010761</v>
      </c>
      <c r="AK28" s="12">
        <v>153709264</v>
      </c>
      <c r="AL28" s="12"/>
    </row>
    <row r="29" spans="1:38" s="13" customFormat="1" ht="12.75">
      <c r="A29" s="29" t="s">
        <v>95</v>
      </c>
      <c r="B29" s="61" t="s">
        <v>130</v>
      </c>
      <c r="C29" s="39" t="s">
        <v>131</v>
      </c>
      <c r="D29" s="78">
        <v>75447185</v>
      </c>
      <c r="E29" s="79">
        <v>9624111</v>
      </c>
      <c r="F29" s="80">
        <f t="shared" si="0"/>
        <v>85071296</v>
      </c>
      <c r="G29" s="78">
        <v>75447185</v>
      </c>
      <c r="H29" s="79">
        <v>12140679</v>
      </c>
      <c r="I29" s="81">
        <f t="shared" si="1"/>
        <v>87587864</v>
      </c>
      <c r="J29" s="78">
        <v>17234912</v>
      </c>
      <c r="K29" s="79">
        <v>1645140</v>
      </c>
      <c r="L29" s="79">
        <f t="shared" si="2"/>
        <v>18880052</v>
      </c>
      <c r="M29" s="40">
        <f t="shared" si="3"/>
        <v>0.22193210739377944</v>
      </c>
      <c r="N29" s="106">
        <v>18742096</v>
      </c>
      <c r="O29" s="107">
        <v>2680470</v>
      </c>
      <c r="P29" s="108">
        <f t="shared" si="4"/>
        <v>21422566</v>
      </c>
      <c r="Q29" s="40">
        <f t="shared" si="5"/>
        <v>0.2518189684097442</v>
      </c>
      <c r="R29" s="106">
        <v>10414455</v>
      </c>
      <c r="S29" s="108">
        <v>1181406</v>
      </c>
      <c r="T29" s="108">
        <f t="shared" si="6"/>
        <v>11595861</v>
      </c>
      <c r="U29" s="40">
        <f t="shared" si="7"/>
        <v>0.132391183783178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46391463</v>
      </c>
      <c r="AA29" s="79">
        <f t="shared" si="11"/>
        <v>5507016</v>
      </c>
      <c r="AB29" s="79">
        <f t="shared" si="12"/>
        <v>51898479</v>
      </c>
      <c r="AC29" s="40">
        <f t="shared" si="13"/>
        <v>0.5925304788800421</v>
      </c>
      <c r="AD29" s="78">
        <v>11531709</v>
      </c>
      <c r="AE29" s="79">
        <v>132785</v>
      </c>
      <c r="AF29" s="79">
        <f t="shared" si="14"/>
        <v>11664494</v>
      </c>
      <c r="AG29" s="40">
        <f>IF(93964324=0,0,39908121/93964324)</f>
        <v>0.4247156718756365</v>
      </c>
      <c r="AH29" s="40">
        <f t="shared" si="15"/>
        <v>-0.005883924326250289</v>
      </c>
      <c r="AI29" s="12">
        <v>92381044</v>
      </c>
      <c r="AJ29" s="12">
        <v>93964324</v>
      </c>
      <c r="AK29" s="12">
        <v>39908121</v>
      </c>
      <c r="AL29" s="12"/>
    </row>
    <row r="30" spans="1:38" s="13" customFormat="1" ht="12.75">
      <c r="A30" s="29" t="s">
        <v>114</v>
      </c>
      <c r="B30" s="61" t="s">
        <v>132</v>
      </c>
      <c r="C30" s="39" t="s">
        <v>133</v>
      </c>
      <c r="D30" s="78">
        <v>1513676596</v>
      </c>
      <c r="E30" s="79">
        <v>440639742</v>
      </c>
      <c r="F30" s="80">
        <f t="shared" si="0"/>
        <v>1954316338</v>
      </c>
      <c r="G30" s="78">
        <v>38206506</v>
      </c>
      <c r="H30" s="79">
        <v>259561</v>
      </c>
      <c r="I30" s="81">
        <f t="shared" si="1"/>
        <v>38466067</v>
      </c>
      <c r="J30" s="78">
        <v>189025746</v>
      </c>
      <c r="K30" s="79">
        <v>287751733</v>
      </c>
      <c r="L30" s="79">
        <f t="shared" si="2"/>
        <v>476777479</v>
      </c>
      <c r="M30" s="40">
        <f t="shared" si="3"/>
        <v>0.24396126140352617</v>
      </c>
      <c r="N30" s="106">
        <v>387999579</v>
      </c>
      <c r="O30" s="107">
        <v>52097729</v>
      </c>
      <c r="P30" s="108">
        <f t="shared" si="4"/>
        <v>440097308</v>
      </c>
      <c r="Q30" s="40">
        <f t="shared" si="5"/>
        <v>0.22519246216320585</v>
      </c>
      <c r="R30" s="106">
        <v>346999625</v>
      </c>
      <c r="S30" s="108">
        <v>807646</v>
      </c>
      <c r="T30" s="108">
        <f t="shared" si="6"/>
        <v>347807271</v>
      </c>
      <c r="U30" s="40">
        <f t="shared" si="7"/>
        <v>9.041924431733559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924024950</v>
      </c>
      <c r="AA30" s="79">
        <f t="shared" si="11"/>
        <v>340657108</v>
      </c>
      <c r="AB30" s="79">
        <f t="shared" si="12"/>
        <v>1264682058</v>
      </c>
      <c r="AC30" s="40">
        <f t="shared" si="13"/>
        <v>32.87786240272498</v>
      </c>
      <c r="AD30" s="78">
        <v>371006920</v>
      </c>
      <c r="AE30" s="79">
        <v>139821522</v>
      </c>
      <c r="AF30" s="79">
        <f t="shared" si="14"/>
        <v>510828442</v>
      </c>
      <c r="AG30" s="40">
        <f>IF(1889893037=0,0,1373174202/1889893037)</f>
        <v>0.7265883174953461</v>
      </c>
      <c r="AH30" s="40">
        <f t="shared" si="15"/>
        <v>-0.3191309598223193</v>
      </c>
      <c r="AI30" s="12">
        <v>1870726811</v>
      </c>
      <c r="AJ30" s="12">
        <v>1889893037</v>
      </c>
      <c r="AK30" s="12">
        <v>1373174202</v>
      </c>
      <c r="AL30" s="12"/>
    </row>
    <row r="31" spans="1:38" s="57" customFormat="1" ht="12.75">
      <c r="A31" s="62"/>
      <c r="B31" s="63" t="s">
        <v>134</v>
      </c>
      <c r="C31" s="32"/>
      <c r="D31" s="82">
        <f>SUM(D23:D30)</f>
        <v>2923189300</v>
      </c>
      <c r="E31" s="83">
        <f>SUM(E23:E30)</f>
        <v>884412930</v>
      </c>
      <c r="F31" s="84">
        <f t="shared" si="0"/>
        <v>3807602230</v>
      </c>
      <c r="G31" s="82">
        <f>SUM(G23:G30)</f>
        <v>1456928379</v>
      </c>
      <c r="H31" s="83">
        <f>SUM(H23:H30)</f>
        <v>428403542</v>
      </c>
      <c r="I31" s="84">
        <f t="shared" si="1"/>
        <v>1885331921</v>
      </c>
      <c r="J31" s="82">
        <f>SUM(J23:J30)</f>
        <v>455545976</v>
      </c>
      <c r="K31" s="83">
        <f>SUM(K23:K30)</f>
        <v>353186428</v>
      </c>
      <c r="L31" s="83">
        <f t="shared" si="2"/>
        <v>808732404</v>
      </c>
      <c r="M31" s="44">
        <f t="shared" si="3"/>
        <v>0.21239939341037734</v>
      </c>
      <c r="N31" s="112">
        <f>SUM(N23:N30)</f>
        <v>628512256</v>
      </c>
      <c r="O31" s="113">
        <f>SUM(O23:O30)</f>
        <v>174297531</v>
      </c>
      <c r="P31" s="114">
        <f t="shared" si="4"/>
        <v>802809787</v>
      </c>
      <c r="Q31" s="44">
        <f t="shared" si="5"/>
        <v>0.21084392184527112</v>
      </c>
      <c r="R31" s="112">
        <f>SUM(R23:R30)</f>
        <v>649822015</v>
      </c>
      <c r="S31" s="114">
        <f>SUM(S23:S30)</f>
        <v>77206790</v>
      </c>
      <c r="T31" s="114">
        <f t="shared" si="6"/>
        <v>727028805</v>
      </c>
      <c r="U31" s="44">
        <f t="shared" si="7"/>
        <v>0.38562377101978745</v>
      </c>
      <c r="V31" s="112">
        <f>SUM(V23:V30)</f>
        <v>0</v>
      </c>
      <c r="W31" s="114">
        <f>SUM(W23:W30)</f>
        <v>0</v>
      </c>
      <c r="X31" s="114">
        <f t="shared" si="8"/>
        <v>0</v>
      </c>
      <c r="Y31" s="44">
        <f t="shared" si="9"/>
        <v>0</v>
      </c>
      <c r="Z31" s="82">
        <f t="shared" si="10"/>
        <v>1733880247</v>
      </c>
      <c r="AA31" s="83">
        <f t="shared" si="11"/>
        <v>604690749</v>
      </c>
      <c r="AB31" s="83">
        <f t="shared" si="12"/>
        <v>2338570996</v>
      </c>
      <c r="AC31" s="44">
        <f t="shared" si="13"/>
        <v>1.240402801199906</v>
      </c>
      <c r="AD31" s="82">
        <f>SUM(AD23:AD30)</f>
        <v>616883455</v>
      </c>
      <c r="AE31" s="83">
        <f>SUM(AE23:AE30)</f>
        <v>180221565</v>
      </c>
      <c r="AF31" s="83">
        <f t="shared" si="14"/>
        <v>797105020</v>
      </c>
      <c r="AG31" s="44">
        <f>IF(1889893037=0,0,1373174202/1889893037)</f>
        <v>0.7265883174953461</v>
      </c>
      <c r="AH31" s="44">
        <f t="shared" si="15"/>
        <v>-0.08791340317992224</v>
      </c>
      <c r="AI31" s="64">
        <f>SUM(AI23:AI30)</f>
        <v>3340980402</v>
      </c>
      <c r="AJ31" s="64">
        <f>SUM(AJ23:AJ30)</f>
        <v>3456929424</v>
      </c>
      <c r="AK31" s="64">
        <f>SUM(AK23:AK30)</f>
        <v>2152723572</v>
      </c>
      <c r="AL31" s="64"/>
    </row>
    <row r="32" spans="1:38" s="13" customFormat="1" ht="12.75">
      <c r="A32" s="29" t="s">
        <v>95</v>
      </c>
      <c r="B32" s="61" t="s">
        <v>135</v>
      </c>
      <c r="C32" s="39" t="s">
        <v>136</v>
      </c>
      <c r="D32" s="78">
        <v>259041506</v>
      </c>
      <c r="E32" s="79">
        <v>23020000</v>
      </c>
      <c r="F32" s="80">
        <f t="shared" si="0"/>
        <v>282061506</v>
      </c>
      <c r="G32" s="78">
        <v>259041506</v>
      </c>
      <c r="H32" s="79">
        <v>23020000</v>
      </c>
      <c r="I32" s="81">
        <f t="shared" si="1"/>
        <v>282061506</v>
      </c>
      <c r="J32" s="78">
        <v>41693402</v>
      </c>
      <c r="K32" s="79">
        <v>1847168</v>
      </c>
      <c r="L32" s="79">
        <f t="shared" si="2"/>
        <v>43540570</v>
      </c>
      <c r="M32" s="40">
        <f t="shared" si="3"/>
        <v>0.15436551629274786</v>
      </c>
      <c r="N32" s="106">
        <v>33958683</v>
      </c>
      <c r="O32" s="107">
        <v>4495379</v>
      </c>
      <c r="P32" s="108">
        <f t="shared" si="4"/>
        <v>38454062</v>
      </c>
      <c r="Q32" s="40">
        <f t="shared" si="5"/>
        <v>0.13633218706561115</v>
      </c>
      <c r="R32" s="106">
        <v>10549216</v>
      </c>
      <c r="S32" s="108">
        <v>11470147</v>
      </c>
      <c r="T32" s="108">
        <f t="shared" si="6"/>
        <v>22019363</v>
      </c>
      <c r="U32" s="40">
        <f t="shared" si="7"/>
        <v>0.0780658208639076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86201301</v>
      </c>
      <c r="AA32" s="79">
        <f t="shared" si="11"/>
        <v>17812694</v>
      </c>
      <c r="AB32" s="79">
        <f t="shared" si="12"/>
        <v>104013995</v>
      </c>
      <c r="AC32" s="40">
        <f t="shared" si="13"/>
        <v>0.3687635242222666</v>
      </c>
      <c r="AD32" s="78">
        <v>37830450</v>
      </c>
      <c r="AE32" s="79">
        <v>4103703</v>
      </c>
      <c r="AF32" s="79">
        <f t="shared" si="14"/>
        <v>41934153</v>
      </c>
      <c r="AG32" s="40">
        <f>IF(248128521=0,0,138668450/248128521)</f>
        <v>0.5588573592473072</v>
      </c>
      <c r="AH32" s="40">
        <f t="shared" si="15"/>
        <v>-0.47490621785063836</v>
      </c>
      <c r="AI32" s="12">
        <v>248128521</v>
      </c>
      <c r="AJ32" s="12">
        <v>248128521</v>
      </c>
      <c r="AK32" s="12">
        <v>138668450</v>
      </c>
      <c r="AL32" s="12"/>
    </row>
    <row r="33" spans="1:38" s="13" customFormat="1" ht="12.75">
      <c r="A33" s="29" t="s">
        <v>95</v>
      </c>
      <c r="B33" s="61" t="s">
        <v>137</v>
      </c>
      <c r="C33" s="39" t="s">
        <v>138</v>
      </c>
      <c r="D33" s="78">
        <v>87024421</v>
      </c>
      <c r="E33" s="79">
        <v>12200930</v>
      </c>
      <c r="F33" s="80">
        <f t="shared" si="0"/>
        <v>99225351</v>
      </c>
      <c r="G33" s="78">
        <v>87024421</v>
      </c>
      <c r="H33" s="79">
        <v>12200930</v>
      </c>
      <c r="I33" s="81">
        <f t="shared" si="1"/>
        <v>99225351</v>
      </c>
      <c r="J33" s="78">
        <v>14572429</v>
      </c>
      <c r="K33" s="79">
        <v>2594022</v>
      </c>
      <c r="L33" s="79">
        <f t="shared" si="2"/>
        <v>17166451</v>
      </c>
      <c r="M33" s="40">
        <f t="shared" si="3"/>
        <v>0.17300468909401995</v>
      </c>
      <c r="N33" s="106">
        <v>23502839</v>
      </c>
      <c r="O33" s="107">
        <v>5621206</v>
      </c>
      <c r="P33" s="108">
        <f t="shared" si="4"/>
        <v>29124045</v>
      </c>
      <c r="Q33" s="40">
        <f t="shared" si="5"/>
        <v>0.2935141544624014</v>
      </c>
      <c r="R33" s="106">
        <v>13422468</v>
      </c>
      <c r="S33" s="108">
        <v>240374</v>
      </c>
      <c r="T33" s="108">
        <f t="shared" si="6"/>
        <v>13662842</v>
      </c>
      <c r="U33" s="40">
        <f t="shared" si="7"/>
        <v>0.13769507350999444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51497736</v>
      </c>
      <c r="AA33" s="79">
        <f t="shared" si="11"/>
        <v>8455602</v>
      </c>
      <c r="AB33" s="79">
        <f t="shared" si="12"/>
        <v>59953338</v>
      </c>
      <c r="AC33" s="40">
        <f t="shared" si="13"/>
        <v>0.6042139170664158</v>
      </c>
      <c r="AD33" s="78">
        <v>12216381</v>
      </c>
      <c r="AE33" s="79">
        <v>1640772</v>
      </c>
      <c r="AF33" s="79">
        <f t="shared" si="14"/>
        <v>13857153</v>
      </c>
      <c r="AG33" s="40">
        <f>IF(117307521=0,0,50342704/117307521)</f>
        <v>0.42915154604622496</v>
      </c>
      <c r="AH33" s="40">
        <f t="shared" si="15"/>
        <v>-0.014022433035126292</v>
      </c>
      <c r="AI33" s="12">
        <v>117307521</v>
      </c>
      <c r="AJ33" s="12">
        <v>117307521</v>
      </c>
      <c r="AK33" s="12">
        <v>50342704</v>
      </c>
      <c r="AL33" s="12"/>
    </row>
    <row r="34" spans="1:38" s="13" customFormat="1" ht="12.75">
      <c r="A34" s="29" t="s">
        <v>95</v>
      </c>
      <c r="B34" s="61" t="s">
        <v>139</v>
      </c>
      <c r="C34" s="39" t="s">
        <v>140</v>
      </c>
      <c r="D34" s="78">
        <v>68798099</v>
      </c>
      <c r="E34" s="79">
        <v>9350200</v>
      </c>
      <c r="F34" s="80">
        <f t="shared" si="0"/>
        <v>78148299</v>
      </c>
      <c r="G34" s="78">
        <v>68798099</v>
      </c>
      <c r="H34" s="79">
        <v>9350200</v>
      </c>
      <c r="I34" s="81">
        <f t="shared" si="1"/>
        <v>78148299</v>
      </c>
      <c r="J34" s="78">
        <v>0</v>
      </c>
      <c r="K34" s="79">
        <v>0</v>
      </c>
      <c r="L34" s="79">
        <f t="shared" si="2"/>
        <v>0</v>
      </c>
      <c r="M34" s="40">
        <f t="shared" si="3"/>
        <v>0</v>
      </c>
      <c r="N34" s="106">
        <v>0</v>
      </c>
      <c r="O34" s="107">
        <v>0</v>
      </c>
      <c r="P34" s="108">
        <f t="shared" si="4"/>
        <v>0</v>
      </c>
      <c r="Q34" s="40">
        <f t="shared" si="5"/>
        <v>0</v>
      </c>
      <c r="R34" s="106">
        <v>0</v>
      </c>
      <c r="S34" s="108">
        <v>0</v>
      </c>
      <c r="T34" s="108">
        <f t="shared" si="6"/>
        <v>0</v>
      </c>
      <c r="U34" s="40">
        <f t="shared" si="7"/>
        <v>0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0</v>
      </c>
      <c r="AA34" s="79">
        <f t="shared" si="11"/>
        <v>0</v>
      </c>
      <c r="AB34" s="79">
        <f t="shared" si="12"/>
        <v>0</v>
      </c>
      <c r="AC34" s="40">
        <f t="shared" si="13"/>
        <v>0</v>
      </c>
      <c r="AD34" s="78">
        <v>16567798</v>
      </c>
      <c r="AE34" s="79">
        <v>0</v>
      </c>
      <c r="AF34" s="79">
        <f t="shared" si="14"/>
        <v>16567798</v>
      </c>
      <c r="AG34" s="40">
        <f>IF(80324909=0,0,28303217/80324909)</f>
        <v>0.35235915424442</v>
      </c>
      <c r="AH34" s="40">
        <f t="shared" si="15"/>
        <v>-1</v>
      </c>
      <c r="AI34" s="12">
        <v>80324909</v>
      </c>
      <c r="AJ34" s="12">
        <v>80324909</v>
      </c>
      <c r="AK34" s="12">
        <v>28303217</v>
      </c>
      <c r="AL34" s="12"/>
    </row>
    <row r="35" spans="1:38" s="13" customFormat="1" ht="12.75">
      <c r="A35" s="29" t="s">
        <v>95</v>
      </c>
      <c r="B35" s="61" t="s">
        <v>141</v>
      </c>
      <c r="C35" s="39" t="s">
        <v>142</v>
      </c>
      <c r="D35" s="78">
        <v>560802332</v>
      </c>
      <c r="E35" s="79">
        <v>76701759</v>
      </c>
      <c r="F35" s="80">
        <f t="shared" si="0"/>
        <v>637504091</v>
      </c>
      <c r="G35" s="78">
        <v>582369493</v>
      </c>
      <c r="H35" s="79">
        <v>99835693</v>
      </c>
      <c r="I35" s="81">
        <f t="shared" si="1"/>
        <v>682205186</v>
      </c>
      <c r="J35" s="78">
        <v>119429391</v>
      </c>
      <c r="K35" s="79">
        <v>4462677</v>
      </c>
      <c r="L35" s="79">
        <f t="shared" si="2"/>
        <v>123892068</v>
      </c>
      <c r="M35" s="40">
        <f t="shared" si="3"/>
        <v>0.1943392516990138</v>
      </c>
      <c r="N35" s="106">
        <v>98876721</v>
      </c>
      <c r="O35" s="107">
        <v>12458086</v>
      </c>
      <c r="P35" s="108">
        <f t="shared" si="4"/>
        <v>111334807</v>
      </c>
      <c r="Q35" s="40">
        <f t="shared" si="5"/>
        <v>0.17464171378941</v>
      </c>
      <c r="R35" s="106">
        <v>80924587</v>
      </c>
      <c r="S35" s="108">
        <v>7816903</v>
      </c>
      <c r="T35" s="108">
        <f t="shared" si="6"/>
        <v>88741490</v>
      </c>
      <c r="U35" s="40">
        <f t="shared" si="7"/>
        <v>0.13008035092832027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299230699</v>
      </c>
      <c r="AA35" s="79">
        <f t="shared" si="11"/>
        <v>24737666</v>
      </c>
      <c r="AB35" s="79">
        <f t="shared" si="12"/>
        <v>323968365</v>
      </c>
      <c r="AC35" s="40">
        <f t="shared" si="13"/>
        <v>0.4748840548978178</v>
      </c>
      <c r="AD35" s="78">
        <v>81004177</v>
      </c>
      <c r="AE35" s="79">
        <v>5359244</v>
      </c>
      <c r="AF35" s="79">
        <f t="shared" si="14"/>
        <v>86363421</v>
      </c>
      <c r="AG35" s="40">
        <f>IF(537209139=0,0,297019191/537209139)</f>
        <v>0.5528930344574797</v>
      </c>
      <c r="AH35" s="40">
        <f t="shared" si="15"/>
        <v>0.027535604454575813</v>
      </c>
      <c r="AI35" s="12">
        <v>522534693</v>
      </c>
      <c r="AJ35" s="12">
        <v>537209139</v>
      </c>
      <c r="AK35" s="12">
        <v>297019191</v>
      </c>
      <c r="AL35" s="12"/>
    </row>
    <row r="36" spans="1:38" s="13" customFormat="1" ht="12.75">
      <c r="A36" s="29" t="s">
        <v>95</v>
      </c>
      <c r="B36" s="61" t="s">
        <v>143</v>
      </c>
      <c r="C36" s="39" t="s">
        <v>144</v>
      </c>
      <c r="D36" s="78">
        <v>267135432</v>
      </c>
      <c r="E36" s="79">
        <v>71589491</v>
      </c>
      <c r="F36" s="80">
        <f t="shared" si="0"/>
        <v>338724923</v>
      </c>
      <c r="G36" s="78">
        <v>267135432</v>
      </c>
      <c r="H36" s="79">
        <v>16788399</v>
      </c>
      <c r="I36" s="81">
        <f t="shared" si="1"/>
        <v>283923831</v>
      </c>
      <c r="J36" s="78">
        <v>78563481</v>
      </c>
      <c r="K36" s="79">
        <v>0</v>
      </c>
      <c r="L36" s="79">
        <f t="shared" si="2"/>
        <v>78563481</v>
      </c>
      <c r="M36" s="40">
        <f t="shared" si="3"/>
        <v>0.23193888511120866</v>
      </c>
      <c r="N36" s="106">
        <v>44585397</v>
      </c>
      <c r="O36" s="107">
        <v>4585045</v>
      </c>
      <c r="P36" s="108">
        <f t="shared" si="4"/>
        <v>49170442</v>
      </c>
      <c r="Q36" s="40">
        <f t="shared" si="5"/>
        <v>0.14516334246830723</v>
      </c>
      <c r="R36" s="106">
        <v>24722082</v>
      </c>
      <c r="S36" s="108">
        <v>2592761</v>
      </c>
      <c r="T36" s="108">
        <f t="shared" si="6"/>
        <v>27314843</v>
      </c>
      <c r="U36" s="40">
        <f t="shared" si="7"/>
        <v>0.09620482685019842</v>
      </c>
      <c r="V36" s="106">
        <v>0</v>
      </c>
      <c r="W36" s="108">
        <v>0</v>
      </c>
      <c r="X36" s="108">
        <f t="shared" si="8"/>
        <v>0</v>
      </c>
      <c r="Y36" s="40">
        <f t="shared" si="9"/>
        <v>0</v>
      </c>
      <c r="Z36" s="78">
        <f t="shared" si="10"/>
        <v>147870960</v>
      </c>
      <c r="AA36" s="79">
        <f t="shared" si="11"/>
        <v>7177806</v>
      </c>
      <c r="AB36" s="79">
        <f t="shared" si="12"/>
        <v>155048766</v>
      </c>
      <c r="AC36" s="40">
        <f t="shared" si="13"/>
        <v>0.5460928216342643</v>
      </c>
      <c r="AD36" s="78">
        <v>25313668</v>
      </c>
      <c r="AE36" s="79">
        <v>0</v>
      </c>
      <c r="AF36" s="79">
        <f t="shared" si="14"/>
        <v>25313668</v>
      </c>
      <c r="AG36" s="40">
        <f>IF(184662892=0,0,122360809/184662892)</f>
        <v>0.6626172030274496</v>
      </c>
      <c r="AH36" s="40">
        <f t="shared" si="15"/>
        <v>0.07905511757521677</v>
      </c>
      <c r="AI36" s="12">
        <v>184662892</v>
      </c>
      <c r="AJ36" s="12">
        <v>184662892</v>
      </c>
      <c r="AK36" s="12">
        <v>122360809</v>
      </c>
      <c r="AL36" s="12"/>
    </row>
    <row r="37" spans="1:38" s="13" customFormat="1" ht="12.75">
      <c r="A37" s="29" t="s">
        <v>95</v>
      </c>
      <c r="B37" s="61" t="s">
        <v>145</v>
      </c>
      <c r="C37" s="39" t="s">
        <v>146</v>
      </c>
      <c r="D37" s="78">
        <v>201080884</v>
      </c>
      <c r="E37" s="79">
        <v>40015000</v>
      </c>
      <c r="F37" s="80">
        <f t="shared" si="0"/>
        <v>241095884</v>
      </c>
      <c r="G37" s="78">
        <v>201080884</v>
      </c>
      <c r="H37" s="79">
        <v>40015000</v>
      </c>
      <c r="I37" s="81">
        <f t="shared" si="1"/>
        <v>241095884</v>
      </c>
      <c r="J37" s="78">
        <v>34580432</v>
      </c>
      <c r="K37" s="79">
        <v>3419728</v>
      </c>
      <c r="L37" s="79">
        <f t="shared" si="2"/>
        <v>38000160</v>
      </c>
      <c r="M37" s="40">
        <f t="shared" si="3"/>
        <v>0.15761430419110764</v>
      </c>
      <c r="N37" s="106">
        <v>34972723</v>
      </c>
      <c r="O37" s="107">
        <v>19627557</v>
      </c>
      <c r="P37" s="108">
        <f t="shared" si="4"/>
        <v>54600280</v>
      </c>
      <c r="Q37" s="40">
        <f t="shared" si="5"/>
        <v>0.2264670764765109</v>
      </c>
      <c r="R37" s="106">
        <v>38431249</v>
      </c>
      <c r="S37" s="108">
        <v>3465909</v>
      </c>
      <c r="T37" s="108">
        <f t="shared" si="6"/>
        <v>41897158</v>
      </c>
      <c r="U37" s="40">
        <f t="shared" si="7"/>
        <v>0.17377798950727835</v>
      </c>
      <c r="V37" s="106">
        <v>0</v>
      </c>
      <c r="W37" s="108">
        <v>0</v>
      </c>
      <c r="X37" s="108">
        <f t="shared" si="8"/>
        <v>0</v>
      </c>
      <c r="Y37" s="40">
        <f t="shared" si="9"/>
        <v>0</v>
      </c>
      <c r="Z37" s="78">
        <f t="shared" si="10"/>
        <v>107984404</v>
      </c>
      <c r="AA37" s="79">
        <f t="shared" si="11"/>
        <v>26513194</v>
      </c>
      <c r="AB37" s="79">
        <f t="shared" si="12"/>
        <v>134497598</v>
      </c>
      <c r="AC37" s="40">
        <f t="shared" si="13"/>
        <v>0.5578593701748968</v>
      </c>
      <c r="AD37" s="78">
        <v>41595182</v>
      </c>
      <c r="AE37" s="79">
        <v>9040655</v>
      </c>
      <c r="AF37" s="79">
        <f t="shared" si="14"/>
        <v>50635837</v>
      </c>
      <c r="AG37" s="40">
        <f>IF(244039544=0,0,139276131/244039544)</f>
        <v>0.5707113229157649</v>
      </c>
      <c r="AH37" s="40">
        <f t="shared" si="15"/>
        <v>-0.17257893850949868</v>
      </c>
      <c r="AI37" s="12">
        <v>237677674</v>
      </c>
      <c r="AJ37" s="12">
        <v>244039544</v>
      </c>
      <c r="AK37" s="12">
        <v>139276131</v>
      </c>
      <c r="AL37" s="12"/>
    </row>
    <row r="38" spans="1:38" s="13" customFormat="1" ht="12.75">
      <c r="A38" s="29" t="s">
        <v>95</v>
      </c>
      <c r="B38" s="61" t="s">
        <v>147</v>
      </c>
      <c r="C38" s="39" t="s">
        <v>148</v>
      </c>
      <c r="D38" s="78">
        <v>168980899</v>
      </c>
      <c r="E38" s="79">
        <v>84169000</v>
      </c>
      <c r="F38" s="80">
        <f t="shared" si="0"/>
        <v>253149899</v>
      </c>
      <c r="G38" s="78">
        <v>168980899</v>
      </c>
      <c r="H38" s="79">
        <v>103315516</v>
      </c>
      <c r="I38" s="81">
        <f t="shared" si="1"/>
        <v>272296415</v>
      </c>
      <c r="J38" s="78">
        <v>25945273</v>
      </c>
      <c r="K38" s="79">
        <v>9817570</v>
      </c>
      <c r="L38" s="79">
        <f t="shared" si="2"/>
        <v>35762843</v>
      </c>
      <c r="M38" s="40">
        <f t="shared" si="3"/>
        <v>0.14127140931626445</v>
      </c>
      <c r="N38" s="106">
        <v>31555696</v>
      </c>
      <c r="O38" s="107">
        <v>22473544</v>
      </c>
      <c r="P38" s="108">
        <f t="shared" si="4"/>
        <v>54029240</v>
      </c>
      <c r="Q38" s="40">
        <f t="shared" si="5"/>
        <v>0.21342785524871966</v>
      </c>
      <c r="R38" s="106">
        <v>31806512</v>
      </c>
      <c r="S38" s="108">
        <v>12649726</v>
      </c>
      <c r="T38" s="108">
        <f t="shared" si="6"/>
        <v>44456238</v>
      </c>
      <c r="U38" s="40">
        <f t="shared" si="7"/>
        <v>0.16326413258140032</v>
      </c>
      <c r="V38" s="106">
        <v>0</v>
      </c>
      <c r="W38" s="108">
        <v>0</v>
      </c>
      <c r="X38" s="108">
        <f t="shared" si="8"/>
        <v>0</v>
      </c>
      <c r="Y38" s="40">
        <f t="shared" si="9"/>
        <v>0</v>
      </c>
      <c r="Z38" s="78">
        <f t="shared" si="10"/>
        <v>89307481</v>
      </c>
      <c r="AA38" s="79">
        <f t="shared" si="11"/>
        <v>44940840</v>
      </c>
      <c r="AB38" s="79">
        <f t="shared" si="12"/>
        <v>134248321</v>
      </c>
      <c r="AC38" s="40">
        <f t="shared" si="13"/>
        <v>0.4930227267222743</v>
      </c>
      <c r="AD38" s="78">
        <v>25480586</v>
      </c>
      <c r="AE38" s="79">
        <v>15343225</v>
      </c>
      <c r="AF38" s="79">
        <f t="shared" si="14"/>
        <v>40823811</v>
      </c>
      <c r="AG38" s="40">
        <f>IF(242203145=0,0,118619742/242203145)</f>
        <v>0.489753103742728</v>
      </c>
      <c r="AH38" s="40">
        <f t="shared" si="15"/>
        <v>0.0889781456219263</v>
      </c>
      <c r="AI38" s="12">
        <v>242203145</v>
      </c>
      <c r="AJ38" s="12">
        <v>242203145</v>
      </c>
      <c r="AK38" s="12">
        <v>118619742</v>
      </c>
      <c r="AL38" s="12"/>
    </row>
    <row r="39" spans="1:38" s="13" customFormat="1" ht="12.75">
      <c r="A39" s="29" t="s">
        <v>95</v>
      </c>
      <c r="B39" s="61" t="s">
        <v>149</v>
      </c>
      <c r="C39" s="39" t="s">
        <v>150</v>
      </c>
      <c r="D39" s="78">
        <v>93343385</v>
      </c>
      <c r="E39" s="79">
        <v>21609550</v>
      </c>
      <c r="F39" s="80">
        <f t="shared" si="0"/>
        <v>114952935</v>
      </c>
      <c r="G39" s="78">
        <v>93343385</v>
      </c>
      <c r="H39" s="79">
        <v>21609550</v>
      </c>
      <c r="I39" s="81">
        <f t="shared" si="1"/>
        <v>114952935</v>
      </c>
      <c r="J39" s="78">
        <v>19679867</v>
      </c>
      <c r="K39" s="79">
        <v>2958961</v>
      </c>
      <c r="L39" s="79">
        <f t="shared" si="2"/>
        <v>22638828</v>
      </c>
      <c r="M39" s="40">
        <f t="shared" si="3"/>
        <v>0.1969399737379476</v>
      </c>
      <c r="N39" s="106">
        <v>10864636</v>
      </c>
      <c r="O39" s="107">
        <v>5200037</v>
      </c>
      <c r="P39" s="108">
        <f t="shared" si="4"/>
        <v>16064673</v>
      </c>
      <c r="Q39" s="40">
        <f t="shared" si="5"/>
        <v>0.13975000290336215</v>
      </c>
      <c r="R39" s="106">
        <v>11875073</v>
      </c>
      <c r="S39" s="108">
        <v>3088095</v>
      </c>
      <c r="T39" s="108">
        <f t="shared" si="6"/>
        <v>14963168</v>
      </c>
      <c r="U39" s="40">
        <f t="shared" si="7"/>
        <v>0.13016777692539994</v>
      </c>
      <c r="V39" s="106">
        <v>0</v>
      </c>
      <c r="W39" s="108">
        <v>0</v>
      </c>
      <c r="X39" s="108">
        <f t="shared" si="8"/>
        <v>0</v>
      </c>
      <c r="Y39" s="40">
        <f t="shared" si="9"/>
        <v>0</v>
      </c>
      <c r="Z39" s="78">
        <f t="shared" si="10"/>
        <v>42419576</v>
      </c>
      <c r="AA39" s="79">
        <f t="shared" si="11"/>
        <v>11247093</v>
      </c>
      <c r="AB39" s="79">
        <f t="shared" si="12"/>
        <v>53666669</v>
      </c>
      <c r="AC39" s="40">
        <f t="shared" si="13"/>
        <v>0.4668577535667097</v>
      </c>
      <c r="AD39" s="78">
        <v>17083305</v>
      </c>
      <c r="AE39" s="79">
        <v>511345</v>
      </c>
      <c r="AF39" s="79">
        <f t="shared" si="14"/>
        <v>17594650</v>
      </c>
      <c r="AG39" s="40">
        <f>IF(125607000=0,0,70720759/125607000)</f>
        <v>0.5630319886630523</v>
      </c>
      <c r="AH39" s="40">
        <f t="shared" si="15"/>
        <v>-0.14956148601989805</v>
      </c>
      <c r="AI39" s="12">
        <v>125607000</v>
      </c>
      <c r="AJ39" s="12">
        <v>125607000</v>
      </c>
      <c r="AK39" s="12">
        <v>70720759</v>
      </c>
      <c r="AL39" s="12"/>
    </row>
    <row r="40" spans="1:38" s="13" customFormat="1" ht="12.75">
      <c r="A40" s="29" t="s">
        <v>114</v>
      </c>
      <c r="B40" s="61" t="s">
        <v>151</v>
      </c>
      <c r="C40" s="39" t="s">
        <v>152</v>
      </c>
      <c r="D40" s="78">
        <v>962446821</v>
      </c>
      <c r="E40" s="79">
        <v>767320342</v>
      </c>
      <c r="F40" s="80">
        <f t="shared" si="0"/>
        <v>1729767163</v>
      </c>
      <c r="G40" s="78">
        <v>1315286250</v>
      </c>
      <c r="H40" s="79">
        <v>831291542</v>
      </c>
      <c r="I40" s="81">
        <f t="shared" si="1"/>
        <v>2146577792</v>
      </c>
      <c r="J40" s="78">
        <v>221270008</v>
      </c>
      <c r="K40" s="79">
        <v>85371956</v>
      </c>
      <c r="L40" s="79">
        <f t="shared" si="2"/>
        <v>306641964</v>
      </c>
      <c r="M40" s="40">
        <f t="shared" si="3"/>
        <v>0.1772735490412359</v>
      </c>
      <c r="N40" s="106">
        <v>312861678</v>
      </c>
      <c r="O40" s="107">
        <v>148612204</v>
      </c>
      <c r="P40" s="108">
        <f t="shared" si="4"/>
        <v>461473882</v>
      </c>
      <c r="Q40" s="40">
        <f t="shared" si="5"/>
        <v>0.2667838145335402</v>
      </c>
      <c r="R40" s="106">
        <v>263842984</v>
      </c>
      <c r="S40" s="108">
        <v>28843409</v>
      </c>
      <c r="T40" s="108">
        <f t="shared" si="6"/>
        <v>292686393</v>
      </c>
      <c r="U40" s="40">
        <f t="shared" si="7"/>
        <v>0.1363502380816581</v>
      </c>
      <c r="V40" s="106">
        <v>0</v>
      </c>
      <c r="W40" s="108">
        <v>0</v>
      </c>
      <c r="X40" s="108">
        <f t="shared" si="8"/>
        <v>0</v>
      </c>
      <c r="Y40" s="40">
        <f t="shared" si="9"/>
        <v>0</v>
      </c>
      <c r="Z40" s="78">
        <f t="shared" si="10"/>
        <v>797974670</v>
      </c>
      <c r="AA40" s="79">
        <f t="shared" si="11"/>
        <v>262827569</v>
      </c>
      <c r="AB40" s="79">
        <f t="shared" si="12"/>
        <v>1060802239</v>
      </c>
      <c r="AC40" s="40">
        <f t="shared" si="13"/>
        <v>0.4941829934854744</v>
      </c>
      <c r="AD40" s="78">
        <v>132907677</v>
      </c>
      <c r="AE40" s="79">
        <v>118278469</v>
      </c>
      <c r="AF40" s="79">
        <f t="shared" si="14"/>
        <v>251186146</v>
      </c>
      <c r="AG40" s="40">
        <f>IF(1553341988=0,0,770854620/1553341988)</f>
        <v>0.496255574081604</v>
      </c>
      <c r="AH40" s="40">
        <f t="shared" si="15"/>
        <v>0.1652171015833015</v>
      </c>
      <c r="AI40" s="12">
        <v>1798709831</v>
      </c>
      <c r="AJ40" s="12">
        <v>1553341988</v>
      </c>
      <c r="AK40" s="12">
        <v>770854620</v>
      </c>
      <c r="AL40" s="12"/>
    </row>
    <row r="41" spans="1:38" s="57" customFormat="1" ht="12.75">
      <c r="A41" s="62"/>
      <c r="B41" s="63" t="s">
        <v>153</v>
      </c>
      <c r="C41" s="32"/>
      <c r="D41" s="82">
        <f>SUM(D32:D40)</f>
        <v>2668653779</v>
      </c>
      <c r="E41" s="83">
        <f>SUM(E32:E40)</f>
        <v>1105976272</v>
      </c>
      <c r="F41" s="84">
        <f t="shared" si="0"/>
        <v>3774630051</v>
      </c>
      <c r="G41" s="82">
        <f>SUM(G32:G40)</f>
        <v>3043060369</v>
      </c>
      <c r="H41" s="83">
        <f>SUM(H32:H40)</f>
        <v>1157426830</v>
      </c>
      <c r="I41" s="84">
        <f t="shared" si="1"/>
        <v>4200487199</v>
      </c>
      <c r="J41" s="82">
        <f>SUM(J32:J40)</f>
        <v>555734283</v>
      </c>
      <c r="K41" s="83">
        <f>SUM(K32:K40)</f>
        <v>110472082</v>
      </c>
      <c r="L41" s="83">
        <f t="shared" si="2"/>
        <v>666206365</v>
      </c>
      <c r="M41" s="44">
        <f t="shared" si="3"/>
        <v>0.1764958038267894</v>
      </c>
      <c r="N41" s="112">
        <f>SUM(N32:N40)</f>
        <v>591178373</v>
      </c>
      <c r="O41" s="113">
        <f>SUM(O32:O40)</f>
        <v>223073058</v>
      </c>
      <c r="P41" s="114">
        <f t="shared" si="4"/>
        <v>814251431</v>
      </c>
      <c r="Q41" s="44">
        <f t="shared" si="5"/>
        <v>0.21571688350869858</v>
      </c>
      <c r="R41" s="112">
        <f>SUM(R32:R40)</f>
        <v>475574171</v>
      </c>
      <c r="S41" s="114">
        <f>SUM(S32:S40)</f>
        <v>70167324</v>
      </c>
      <c r="T41" s="114">
        <f t="shared" si="6"/>
        <v>545741495</v>
      </c>
      <c r="U41" s="44">
        <f t="shared" si="7"/>
        <v>0.12992338010931764</v>
      </c>
      <c r="V41" s="112">
        <f>SUM(V32:V40)</f>
        <v>0</v>
      </c>
      <c r="W41" s="114">
        <f>SUM(W32:W40)</f>
        <v>0</v>
      </c>
      <c r="X41" s="114">
        <f t="shared" si="8"/>
        <v>0</v>
      </c>
      <c r="Y41" s="44">
        <f t="shared" si="9"/>
        <v>0</v>
      </c>
      <c r="Z41" s="82">
        <f t="shared" si="10"/>
        <v>1622486827</v>
      </c>
      <c r="AA41" s="83">
        <f t="shared" si="11"/>
        <v>403712464</v>
      </c>
      <c r="AB41" s="83">
        <f t="shared" si="12"/>
        <v>2026199291</v>
      </c>
      <c r="AC41" s="44">
        <f t="shared" si="13"/>
        <v>0.4823724475299847</v>
      </c>
      <c r="AD41" s="82">
        <f>SUM(AD32:AD40)</f>
        <v>389999224</v>
      </c>
      <c r="AE41" s="83">
        <f>SUM(AE32:AE40)</f>
        <v>154277413</v>
      </c>
      <c r="AF41" s="83">
        <f t="shared" si="14"/>
        <v>544276637</v>
      </c>
      <c r="AG41" s="44">
        <f>IF(1553341988=0,0,770854620/1553341988)</f>
        <v>0.496255574081604</v>
      </c>
      <c r="AH41" s="44">
        <f t="shared" si="15"/>
        <v>0.0026913850428600394</v>
      </c>
      <c r="AI41" s="64">
        <f>SUM(AI32:AI40)</f>
        <v>3557156186</v>
      </c>
      <c r="AJ41" s="64">
        <f>SUM(AJ32:AJ40)</f>
        <v>3332824659</v>
      </c>
      <c r="AK41" s="64">
        <f>SUM(AK32:AK40)</f>
        <v>1736165623</v>
      </c>
      <c r="AL41" s="64"/>
    </row>
    <row r="42" spans="1:38" s="13" customFormat="1" ht="12.75">
      <c r="A42" s="29" t="s">
        <v>95</v>
      </c>
      <c r="B42" s="61" t="s">
        <v>154</v>
      </c>
      <c r="C42" s="39" t="s">
        <v>155</v>
      </c>
      <c r="D42" s="78">
        <v>267246807</v>
      </c>
      <c r="E42" s="79">
        <v>54490612</v>
      </c>
      <c r="F42" s="80">
        <f aca="true" t="shared" si="16" ref="F42:F61">$D42+$E42</f>
        <v>321737419</v>
      </c>
      <c r="G42" s="78">
        <v>271314834</v>
      </c>
      <c r="H42" s="79">
        <v>55135040</v>
      </c>
      <c r="I42" s="81">
        <f aca="true" t="shared" si="17" ref="I42:I61">$G42+$H42</f>
        <v>326449874</v>
      </c>
      <c r="J42" s="78">
        <v>50910624</v>
      </c>
      <c r="K42" s="79">
        <v>2834585</v>
      </c>
      <c r="L42" s="79">
        <f aca="true" t="shared" si="18" ref="L42:L61">$J42+$K42</f>
        <v>53745209</v>
      </c>
      <c r="M42" s="40">
        <f aca="true" t="shared" si="19" ref="M42:M61">IF($F42=0,0,$L42/$F42)</f>
        <v>0.1670468084410163</v>
      </c>
      <c r="N42" s="106">
        <v>46943110</v>
      </c>
      <c r="O42" s="107">
        <v>9326834</v>
      </c>
      <c r="P42" s="108">
        <f aca="true" t="shared" si="20" ref="P42:P61">$N42+$O42</f>
        <v>56269944</v>
      </c>
      <c r="Q42" s="40">
        <f aca="true" t="shared" si="21" ref="Q42:Q61">IF($F42=0,0,$P42/$F42)</f>
        <v>0.17489399950709494</v>
      </c>
      <c r="R42" s="106">
        <v>38215426</v>
      </c>
      <c r="S42" s="108">
        <v>9143911</v>
      </c>
      <c r="T42" s="108">
        <f aca="true" t="shared" si="22" ref="T42:T61">$R42+$S42</f>
        <v>47359337</v>
      </c>
      <c r="U42" s="40">
        <f aca="true" t="shared" si="23" ref="U42:U61">IF($I42=0,0,$T42/$I42)</f>
        <v>0.14507384064727805</v>
      </c>
      <c r="V42" s="106">
        <v>0</v>
      </c>
      <c r="W42" s="108">
        <v>0</v>
      </c>
      <c r="X42" s="108">
        <f aca="true" t="shared" si="24" ref="X42:X61">$V42+$W42</f>
        <v>0</v>
      </c>
      <c r="Y42" s="40">
        <f aca="true" t="shared" si="25" ref="Y42:Y61">IF($I42=0,0,$X42/$I42)</f>
        <v>0</v>
      </c>
      <c r="Z42" s="78">
        <f aca="true" t="shared" si="26" ref="Z42:Z61">$J42+$N42+$R42</f>
        <v>136069160</v>
      </c>
      <c r="AA42" s="79">
        <f aca="true" t="shared" si="27" ref="AA42:AA61">$K42+$O42+$S42</f>
        <v>21305330</v>
      </c>
      <c r="AB42" s="79">
        <f aca="true" t="shared" si="28" ref="AB42:AB61">$Z42+$AA42</f>
        <v>157374490</v>
      </c>
      <c r="AC42" s="40">
        <f aca="true" t="shared" si="29" ref="AC42:AC61">IF($I42=0,0,$AB42/$I42)</f>
        <v>0.48207857479522265</v>
      </c>
      <c r="AD42" s="78">
        <v>29965090</v>
      </c>
      <c r="AE42" s="79">
        <v>11694136</v>
      </c>
      <c r="AF42" s="79">
        <f aca="true" t="shared" si="30" ref="AF42:AF61">$AD42+$AE42</f>
        <v>41659226</v>
      </c>
      <c r="AG42" s="40">
        <f>IF(248650381=0,0,131283392/248650381)</f>
        <v>0.5279838762845089</v>
      </c>
      <c r="AH42" s="40">
        <f aca="true" t="shared" si="31" ref="AH42:AH61">IF($AF42=0,0,(($T42/$AF42)-1))</f>
        <v>0.1368270980358588</v>
      </c>
      <c r="AI42" s="12">
        <v>232964479</v>
      </c>
      <c r="AJ42" s="12">
        <v>248650381</v>
      </c>
      <c r="AK42" s="12">
        <v>131283392</v>
      </c>
      <c r="AL42" s="12"/>
    </row>
    <row r="43" spans="1:38" s="13" customFormat="1" ht="12.75">
      <c r="A43" s="29" t="s">
        <v>95</v>
      </c>
      <c r="B43" s="61" t="s">
        <v>156</v>
      </c>
      <c r="C43" s="39" t="s">
        <v>157</v>
      </c>
      <c r="D43" s="78">
        <v>197522275</v>
      </c>
      <c r="E43" s="79">
        <v>62889900</v>
      </c>
      <c r="F43" s="80">
        <f t="shared" si="16"/>
        <v>260412175</v>
      </c>
      <c r="G43" s="78">
        <v>201473758</v>
      </c>
      <c r="H43" s="79">
        <v>66219988</v>
      </c>
      <c r="I43" s="81">
        <f t="shared" si="17"/>
        <v>267693746</v>
      </c>
      <c r="J43" s="78">
        <v>21113184</v>
      </c>
      <c r="K43" s="79">
        <v>9290622</v>
      </c>
      <c r="L43" s="79">
        <f t="shared" si="18"/>
        <v>30403806</v>
      </c>
      <c r="M43" s="40">
        <f t="shared" si="19"/>
        <v>0.11675262878934135</v>
      </c>
      <c r="N43" s="106">
        <v>45914987</v>
      </c>
      <c r="O43" s="107">
        <v>12081549</v>
      </c>
      <c r="P43" s="108">
        <f t="shared" si="20"/>
        <v>57996536</v>
      </c>
      <c r="Q43" s="40">
        <f t="shared" si="21"/>
        <v>0.22271053955138617</v>
      </c>
      <c r="R43" s="106">
        <v>30593195</v>
      </c>
      <c r="S43" s="108">
        <v>11081400</v>
      </c>
      <c r="T43" s="108">
        <f t="shared" si="22"/>
        <v>41674595</v>
      </c>
      <c r="U43" s="40">
        <f t="shared" si="23"/>
        <v>0.15568012186582797</v>
      </c>
      <c r="V43" s="106">
        <v>0</v>
      </c>
      <c r="W43" s="108">
        <v>0</v>
      </c>
      <c r="X43" s="108">
        <f t="shared" si="24"/>
        <v>0</v>
      </c>
      <c r="Y43" s="40">
        <f t="shared" si="25"/>
        <v>0</v>
      </c>
      <c r="Z43" s="78">
        <f t="shared" si="26"/>
        <v>97621366</v>
      </c>
      <c r="AA43" s="79">
        <f t="shared" si="27"/>
        <v>32453571</v>
      </c>
      <c r="AB43" s="79">
        <f t="shared" si="28"/>
        <v>130074937</v>
      </c>
      <c r="AC43" s="40">
        <f t="shared" si="29"/>
        <v>0.4859095101907984</v>
      </c>
      <c r="AD43" s="78">
        <v>29394425</v>
      </c>
      <c r="AE43" s="79">
        <v>7793607</v>
      </c>
      <c r="AF43" s="79">
        <f t="shared" si="30"/>
        <v>37188032</v>
      </c>
      <c r="AG43" s="40">
        <f>IF(252604734=0,0,143789998/252604734)</f>
        <v>0.5692292290927533</v>
      </c>
      <c r="AH43" s="40">
        <f t="shared" si="31"/>
        <v>0.12064534633077661</v>
      </c>
      <c r="AI43" s="12">
        <v>245786340</v>
      </c>
      <c r="AJ43" s="12">
        <v>252604734</v>
      </c>
      <c r="AK43" s="12">
        <v>143789998</v>
      </c>
      <c r="AL43" s="12"/>
    </row>
    <row r="44" spans="1:38" s="13" customFormat="1" ht="12.75">
      <c r="A44" s="29" t="s">
        <v>95</v>
      </c>
      <c r="B44" s="61" t="s">
        <v>158</v>
      </c>
      <c r="C44" s="39" t="s">
        <v>159</v>
      </c>
      <c r="D44" s="78">
        <v>153387100</v>
      </c>
      <c r="E44" s="79">
        <v>13749700</v>
      </c>
      <c r="F44" s="80">
        <f t="shared" si="16"/>
        <v>167136800</v>
      </c>
      <c r="G44" s="78">
        <v>150743197</v>
      </c>
      <c r="H44" s="79">
        <v>30460271</v>
      </c>
      <c r="I44" s="81">
        <f t="shared" si="17"/>
        <v>181203468</v>
      </c>
      <c r="J44" s="78">
        <v>26869735</v>
      </c>
      <c r="K44" s="79">
        <v>2123221</v>
      </c>
      <c r="L44" s="79">
        <f t="shared" si="18"/>
        <v>28992956</v>
      </c>
      <c r="M44" s="40">
        <f t="shared" si="19"/>
        <v>0.17346841629132542</v>
      </c>
      <c r="N44" s="106">
        <v>28169842</v>
      </c>
      <c r="O44" s="107">
        <v>10633223</v>
      </c>
      <c r="P44" s="108">
        <f t="shared" si="20"/>
        <v>38803065</v>
      </c>
      <c r="Q44" s="40">
        <f t="shared" si="21"/>
        <v>0.23216350319020107</v>
      </c>
      <c r="R44" s="106">
        <v>24847911</v>
      </c>
      <c r="S44" s="108">
        <v>3215270</v>
      </c>
      <c r="T44" s="108">
        <f t="shared" si="22"/>
        <v>28063181</v>
      </c>
      <c r="U44" s="40">
        <f t="shared" si="23"/>
        <v>0.1548711032395914</v>
      </c>
      <c r="V44" s="106">
        <v>0</v>
      </c>
      <c r="W44" s="108">
        <v>0</v>
      </c>
      <c r="X44" s="108">
        <f t="shared" si="24"/>
        <v>0</v>
      </c>
      <c r="Y44" s="40">
        <f t="shared" si="25"/>
        <v>0</v>
      </c>
      <c r="Z44" s="78">
        <f t="shared" si="26"/>
        <v>79887488</v>
      </c>
      <c r="AA44" s="79">
        <f t="shared" si="27"/>
        <v>15971714</v>
      </c>
      <c r="AB44" s="79">
        <f t="shared" si="28"/>
        <v>95859202</v>
      </c>
      <c r="AC44" s="40">
        <f t="shared" si="29"/>
        <v>0.5290141687575207</v>
      </c>
      <c r="AD44" s="78">
        <v>27317938</v>
      </c>
      <c r="AE44" s="79">
        <v>705252</v>
      </c>
      <c r="AF44" s="79">
        <f t="shared" si="30"/>
        <v>28023190</v>
      </c>
      <c r="AG44" s="40">
        <f>IF(149482920=0,0,91827826/149482920)</f>
        <v>0.6143031324247613</v>
      </c>
      <c r="AH44" s="40">
        <f t="shared" si="31"/>
        <v>0.0014270680818280201</v>
      </c>
      <c r="AI44" s="12">
        <v>140433910</v>
      </c>
      <c r="AJ44" s="12">
        <v>149482920</v>
      </c>
      <c r="AK44" s="12">
        <v>91827826</v>
      </c>
      <c r="AL44" s="12"/>
    </row>
    <row r="45" spans="1:38" s="13" customFormat="1" ht="12.75">
      <c r="A45" s="29" t="s">
        <v>95</v>
      </c>
      <c r="B45" s="61" t="s">
        <v>160</v>
      </c>
      <c r="C45" s="39" t="s">
        <v>161</v>
      </c>
      <c r="D45" s="78">
        <v>134733957</v>
      </c>
      <c r="E45" s="79">
        <v>11629550</v>
      </c>
      <c r="F45" s="80">
        <f t="shared" si="16"/>
        <v>146363507</v>
      </c>
      <c r="G45" s="78">
        <v>135523055</v>
      </c>
      <c r="H45" s="79">
        <v>11629550</v>
      </c>
      <c r="I45" s="81">
        <f t="shared" si="17"/>
        <v>147152605</v>
      </c>
      <c r="J45" s="78">
        <v>15766483</v>
      </c>
      <c r="K45" s="79">
        <v>5943146</v>
      </c>
      <c r="L45" s="79">
        <f t="shared" si="18"/>
        <v>21709629</v>
      </c>
      <c r="M45" s="40">
        <f t="shared" si="19"/>
        <v>0.1483267888627457</v>
      </c>
      <c r="N45" s="106">
        <v>12802343</v>
      </c>
      <c r="O45" s="107">
        <v>9202632</v>
      </c>
      <c r="P45" s="108">
        <f t="shared" si="20"/>
        <v>22004975</v>
      </c>
      <c r="Q45" s="40">
        <f t="shared" si="21"/>
        <v>0.15034468257172875</v>
      </c>
      <c r="R45" s="106">
        <v>14471168</v>
      </c>
      <c r="S45" s="108">
        <v>6848523</v>
      </c>
      <c r="T45" s="108">
        <f t="shared" si="22"/>
        <v>21319691</v>
      </c>
      <c r="U45" s="40">
        <f t="shared" si="23"/>
        <v>0.1448815058353877</v>
      </c>
      <c r="V45" s="106">
        <v>0</v>
      </c>
      <c r="W45" s="108">
        <v>0</v>
      </c>
      <c r="X45" s="108">
        <f t="shared" si="24"/>
        <v>0</v>
      </c>
      <c r="Y45" s="40">
        <f t="shared" si="25"/>
        <v>0</v>
      </c>
      <c r="Z45" s="78">
        <f t="shared" si="26"/>
        <v>43039994</v>
      </c>
      <c r="AA45" s="79">
        <f t="shared" si="27"/>
        <v>21994301</v>
      </c>
      <c r="AB45" s="79">
        <f t="shared" si="28"/>
        <v>65034295</v>
      </c>
      <c r="AC45" s="40">
        <f t="shared" si="29"/>
        <v>0.4419513674256735</v>
      </c>
      <c r="AD45" s="78">
        <v>14225949</v>
      </c>
      <c r="AE45" s="79">
        <v>3203157</v>
      </c>
      <c r="AF45" s="79">
        <f t="shared" si="30"/>
        <v>17429106</v>
      </c>
      <c r="AG45" s="40">
        <f>IF(133147530=0,0,51142137/133147530)</f>
        <v>0.38410128223933254</v>
      </c>
      <c r="AH45" s="40">
        <f t="shared" si="31"/>
        <v>0.22322344014661444</v>
      </c>
      <c r="AI45" s="12">
        <v>133147530</v>
      </c>
      <c r="AJ45" s="12">
        <v>133147530</v>
      </c>
      <c r="AK45" s="12">
        <v>51142137</v>
      </c>
      <c r="AL45" s="12"/>
    </row>
    <row r="46" spans="1:38" s="13" customFormat="1" ht="12.75">
      <c r="A46" s="29" t="s">
        <v>114</v>
      </c>
      <c r="B46" s="61" t="s">
        <v>162</v>
      </c>
      <c r="C46" s="39" t="s">
        <v>163</v>
      </c>
      <c r="D46" s="78">
        <v>461654616</v>
      </c>
      <c r="E46" s="79">
        <v>234660932</v>
      </c>
      <c r="F46" s="80">
        <f t="shared" si="16"/>
        <v>696315548</v>
      </c>
      <c r="G46" s="78">
        <v>483938007</v>
      </c>
      <c r="H46" s="79">
        <v>225011809</v>
      </c>
      <c r="I46" s="81">
        <f t="shared" si="17"/>
        <v>708949816</v>
      </c>
      <c r="J46" s="78">
        <v>79611981</v>
      </c>
      <c r="K46" s="79">
        <v>7061411</v>
      </c>
      <c r="L46" s="79">
        <f t="shared" si="18"/>
        <v>86673392</v>
      </c>
      <c r="M46" s="40">
        <f t="shared" si="19"/>
        <v>0.12447430227423271</v>
      </c>
      <c r="N46" s="106">
        <v>102573615</v>
      </c>
      <c r="O46" s="107">
        <v>67138504</v>
      </c>
      <c r="P46" s="108">
        <f t="shared" si="20"/>
        <v>169712119</v>
      </c>
      <c r="Q46" s="40">
        <f t="shared" si="21"/>
        <v>0.2437287512643621</v>
      </c>
      <c r="R46" s="106">
        <v>93941082</v>
      </c>
      <c r="S46" s="108">
        <v>32212551</v>
      </c>
      <c r="T46" s="108">
        <f t="shared" si="22"/>
        <v>126153633</v>
      </c>
      <c r="U46" s="40">
        <f t="shared" si="23"/>
        <v>0.17794437653115916</v>
      </c>
      <c r="V46" s="106">
        <v>0</v>
      </c>
      <c r="W46" s="108">
        <v>0</v>
      </c>
      <c r="X46" s="108">
        <f t="shared" si="24"/>
        <v>0</v>
      </c>
      <c r="Y46" s="40">
        <f t="shared" si="25"/>
        <v>0</v>
      </c>
      <c r="Z46" s="78">
        <f t="shared" si="26"/>
        <v>276126678</v>
      </c>
      <c r="AA46" s="79">
        <f t="shared" si="27"/>
        <v>106412466</v>
      </c>
      <c r="AB46" s="79">
        <f t="shared" si="28"/>
        <v>382539144</v>
      </c>
      <c r="AC46" s="40">
        <f t="shared" si="29"/>
        <v>0.5395856453681624</v>
      </c>
      <c r="AD46" s="78">
        <v>91084511</v>
      </c>
      <c r="AE46" s="79">
        <v>19228000</v>
      </c>
      <c r="AF46" s="79">
        <f t="shared" si="30"/>
        <v>110312511</v>
      </c>
      <c r="AG46" s="40">
        <f>IF(699858104=0,0,340736462/699858104)</f>
        <v>0.48686506600772317</v>
      </c>
      <c r="AH46" s="40">
        <f t="shared" si="31"/>
        <v>0.14360222477394236</v>
      </c>
      <c r="AI46" s="12">
        <v>599244756</v>
      </c>
      <c r="AJ46" s="12">
        <v>699858104</v>
      </c>
      <c r="AK46" s="12">
        <v>340736462</v>
      </c>
      <c r="AL46" s="12"/>
    </row>
    <row r="47" spans="1:38" s="57" customFormat="1" ht="12.75">
      <c r="A47" s="62"/>
      <c r="B47" s="63" t="s">
        <v>164</v>
      </c>
      <c r="C47" s="32"/>
      <c r="D47" s="82">
        <f>SUM(D42:D46)</f>
        <v>1214544755</v>
      </c>
      <c r="E47" s="83">
        <f>SUM(E42:E46)</f>
        <v>377420694</v>
      </c>
      <c r="F47" s="84">
        <f t="shared" si="16"/>
        <v>1591965449</v>
      </c>
      <c r="G47" s="82">
        <f>SUM(G42:G46)</f>
        <v>1242992851</v>
      </c>
      <c r="H47" s="83">
        <f>SUM(H42:H46)</f>
        <v>388456658</v>
      </c>
      <c r="I47" s="84">
        <f t="shared" si="17"/>
        <v>1631449509</v>
      </c>
      <c r="J47" s="82">
        <f>SUM(J42:J46)</f>
        <v>194272007</v>
      </c>
      <c r="K47" s="83">
        <f>SUM(K42:K46)</f>
        <v>27252985</v>
      </c>
      <c r="L47" s="83">
        <f t="shared" si="18"/>
        <v>221524992</v>
      </c>
      <c r="M47" s="44">
        <f t="shared" si="19"/>
        <v>0.1391518843195698</v>
      </c>
      <c r="N47" s="112">
        <f>SUM(N42:N46)</f>
        <v>236403897</v>
      </c>
      <c r="O47" s="113">
        <f>SUM(O42:O46)</f>
        <v>108382742</v>
      </c>
      <c r="P47" s="114">
        <f t="shared" si="20"/>
        <v>344786639</v>
      </c>
      <c r="Q47" s="44">
        <f t="shared" si="21"/>
        <v>0.2165792223798445</v>
      </c>
      <c r="R47" s="112">
        <f>SUM(R42:R46)</f>
        <v>202068782</v>
      </c>
      <c r="S47" s="114">
        <f>SUM(S42:S46)</f>
        <v>62501655</v>
      </c>
      <c r="T47" s="114">
        <f t="shared" si="22"/>
        <v>264570437</v>
      </c>
      <c r="U47" s="44">
        <f t="shared" si="23"/>
        <v>0.16216893967020096</v>
      </c>
      <c r="V47" s="112">
        <f>SUM(V42:V46)</f>
        <v>0</v>
      </c>
      <c r="W47" s="114">
        <f>SUM(W42:W46)</f>
        <v>0</v>
      </c>
      <c r="X47" s="114">
        <f t="shared" si="24"/>
        <v>0</v>
      </c>
      <c r="Y47" s="44">
        <f t="shared" si="25"/>
        <v>0</v>
      </c>
      <c r="Z47" s="82">
        <f t="shared" si="26"/>
        <v>632744686</v>
      </c>
      <c r="AA47" s="83">
        <f t="shared" si="27"/>
        <v>198137382</v>
      </c>
      <c r="AB47" s="83">
        <f t="shared" si="28"/>
        <v>830882068</v>
      </c>
      <c r="AC47" s="44">
        <f t="shared" si="29"/>
        <v>0.5092907033998807</v>
      </c>
      <c r="AD47" s="82">
        <f>SUM(AD42:AD46)</f>
        <v>191987913</v>
      </c>
      <c r="AE47" s="83">
        <f>SUM(AE42:AE46)</f>
        <v>42624152</v>
      </c>
      <c r="AF47" s="83">
        <f t="shared" si="30"/>
        <v>234612065</v>
      </c>
      <c r="AG47" s="44">
        <f>IF(699858104=0,0,340736462/699858104)</f>
        <v>0.48686506600772317</v>
      </c>
      <c r="AH47" s="44">
        <f t="shared" si="31"/>
        <v>0.12769322839385944</v>
      </c>
      <c r="AI47" s="64">
        <f>SUM(AI42:AI46)</f>
        <v>1351577015</v>
      </c>
      <c r="AJ47" s="64">
        <f>SUM(AJ42:AJ46)</f>
        <v>1483743669</v>
      </c>
      <c r="AK47" s="64">
        <f>SUM(AK42:AK46)</f>
        <v>758779815</v>
      </c>
      <c r="AL47" s="64"/>
    </row>
    <row r="48" spans="1:38" s="13" customFormat="1" ht="12.75">
      <c r="A48" s="29" t="s">
        <v>95</v>
      </c>
      <c r="B48" s="61" t="s">
        <v>165</v>
      </c>
      <c r="C48" s="39" t="s">
        <v>166</v>
      </c>
      <c r="D48" s="78">
        <v>337443253</v>
      </c>
      <c r="E48" s="79">
        <v>145145180</v>
      </c>
      <c r="F48" s="80">
        <f t="shared" si="16"/>
        <v>482588433</v>
      </c>
      <c r="G48" s="78">
        <v>339910755</v>
      </c>
      <c r="H48" s="79">
        <v>146245180</v>
      </c>
      <c r="I48" s="81">
        <f t="shared" si="17"/>
        <v>486155935</v>
      </c>
      <c r="J48" s="78">
        <v>40713210</v>
      </c>
      <c r="K48" s="79">
        <v>21993501</v>
      </c>
      <c r="L48" s="79">
        <f t="shared" si="18"/>
        <v>62706711</v>
      </c>
      <c r="M48" s="40">
        <f t="shared" si="19"/>
        <v>0.12993828014108244</v>
      </c>
      <c r="N48" s="106">
        <v>40484424</v>
      </c>
      <c r="O48" s="107">
        <v>15685768</v>
      </c>
      <c r="P48" s="108">
        <f t="shared" si="20"/>
        <v>56170192</v>
      </c>
      <c r="Q48" s="40">
        <f t="shared" si="21"/>
        <v>0.11639357298893237</v>
      </c>
      <c r="R48" s="106">
        <v>47093480</v>
      </c>
      <c r="S48" s="108">
        <v>20345496</v>
      </c>
      <c r="T48" s="108">
        <f t="shared" si="22"/>
        <v>67438976</v>
      </c>
      <c r="U48" s="40">
        <f t="shared" si="23"/>
        <v>0.13871881662824911</v>
      </c>
      <c r="V48" s="106">
        <v>0</v>
      </c>
      <c r="W48" s="108">
        <v>0</v>
      </c>
      <c r="X48" s="108">
        <f t="shared" si="24"/>
        <v>0</v>
      </c>
      <c r="Y48" s="40">
        <f t="shared" si="25"/>
        <v>0</v>
      </c>
      <c r="Z48" s="78">
        <f t="shared" si="26"/>
        <v>128291114</v>
      </c>
      <c r="AA48" s="79">
        <f t="shared" si="27"/>
        <v>58024765</v>
      </c>
      <c r="AB48" s="79">
        <f t="shared" si="28"/>
        <v>186315879</v>
      </c>
      <c r="AC48" s="40">
        <f t="shared" si="29"/>
        <v>0.38324304114481295</v>
      </c>
      <c r="AD48" s="78">
        <v>36737987</v>
      </c>
      <c r="AE48" s="79">
        <v>26090558</v>
      </c>
      <c r="AF48" s="79">
        <f t="shared" si="30"/>
        <v>62828545</v>
      </c>
      <c r="AG48" s="40">
        <f>IF(27528908=0,0,191733899/27528908)</f>
        <v>6.9648203626529614</v>
      </c>
      <c r="AH48" s="40">
        <f t="shared" si="31"/>
        <v>0.07338115183154414</v>
      </c>
      <c r="AI48" s="12">
        <v>419123906</v>
      </c>
      <c r="AJ48" s="12">
        <v>27528908</v>
      </c>
      <c r="AK48" s="12">
        <v>191733899</v>
      </c>
      <c r="AL48" s="12"/>
    </row>
    <row r="49" spans="1:38" s="13" customFormat="1" ht="12.75">
      <c r="A49" s="29" t="s">
        <v>95</v>
      </c>
      <c r="B49" s="61" t="s">
        <v>167</v>
      </c>
      <c r="C49" s="39" t="s">
        <v>168</v>
      </c>
      <c r="D49" s="78">
        <v>0</v>
      </c>
      <c r="E49" s="79">
        <v>0</v>
      </c>
      <c r="F49" s="80">
        <f t="shared" si="16"/>
        <v>0</v>
      </c>
      <c r="G49" s="78">
        <v>0</v>
      </c>
      <c r="H49" s="79">
        <v>0</v>
      </c>
      <c r="I49" s="81">
        <f t="shared" si="17"/>
        <v>0</v>
      </c>
      <c r="J49" s="78">
        <v>30748140</v>
      </c>
      <c r="K49" s="79">
        <v>5068781</v>
      </c>
      <c r="L49" s="79">
        <f t="shared" si="18"/>
        <v>35816921</v>
      </c>
      <c r="M49" s="40">
        <f t="shared" si="19"/>
        <v>0</v>
      </c>
      <c r="N49" s="106">
        <v>30196617</v>
      </c>
      <c r="O49" s="107">
        <v>5181254</v>
      </c>
      <c r="P49" s="108">
        <f t="shared" si="20"/>
        <v>35377871</v>
      </c>
      <c r="Q49" s="40">
        <f t="shared" si="21"/>
        <v>0</v>
      </c>
      <c r="R49" s="106">
        <v>18654886</v>
      </c>
      <c r="S49" s="108">
        <v>4893585</v>
      </c>
      <c r="T49" s="108">
        <f t="shared" si="22"/>
        <v>23548471</v>
      </c>
      <c r="U49" s="40">
        <f t="shared" si="23"/>
        <v>0</v>
      </c>
      <c r="V49" s="106">
        <v>0</v>
      </c>
      <c r="W49" s="108">
        <v>0</v>
      </c>
      <c r="X49" s="108">
        <f t="shared" si="24"/>
        <v>0</v>
      </c>
      <c r="Y49" s="40">
        <f t="shared" si="25"/>
        <v>0</v>
      </c>
      <c r="Z49" s="78">
        <f t="shared" si="26"/>
        <v>79599643</v>
      </c>
      <c r="AA49" s="79">
        <f t="shared" si="27"/>
        <v>15143620</v>
      </c>
      <c r="AB49" s="79">
        <f t="shared" si="28"/>
        <v>94743263</v>
      </c>
      <c r="AC49" s="40">
        <f t="shared" si="29"/>
        <v>0</v>
      </c>
      <c r="AD49" s="78">
        <v>13199489</v>
      </c>
      <c r="AE49" s="79">
        <v>0</v>
      </c>
      <c r="AF49" s="79">
        <f t="shared" si="30"/>
        <v>13199489</v>
      </c>
      <c r="AG49" s="40">
        <f>IF(218820439=0,0,64589486/218820439)</f>
        <v>0.2951711745720426</v>
      </c>
      <c r="AH49" s="40">
        <f t="shared" si="31"/>
        <v>0.7840441398905669</v>
      </c>
      <c r="AI49" s="12">
        <v>218820439</v>
      </c>
      <c r="AJ49" s="12">
        <v>218820439</v>
      </c>
      <c r="AK49" s="12">
        <v>64589486</v>
      </c>
      <c r="AL49" s="12"/>
    </row>
    <row r="50" spans="1:38" s="13" customFormat="1" ht="12.75">
      <c r="A50" s="29" t="s">
        <v>95</v>
      </c>
      <c r="B50" s="61" t="s">
        <v>169</v>
      </c>
      <c r="C50" s="39" t="s">
        <v>170</v>
      </c>
      <c r="D50" s="78">
        <v>376568861</v>
      </c>
      <c r="E50" s="79">
        <v>77317746</v>
      </c>
      <c r="F50" s="80">
        <f t="shared" si="16"/>
        <v>453886607</v>
      </c>
      <c r="G50" s="78">
        <v>383350861</v>
      </c>
      <c r="H50" s="79">
        <v>101792122</v>
      </c>
      <c r="I50" s="81">
        <f t="shared" si="17"/>
        <v>485142983</v>
      </c>
      <c r="J50" s="78">
        <v>44766052</v>
      </c>
      <c r="K50" s="79">
        <v>15736079</v>
      </c>
      <c r="L50" s="79">
        <f t="shared" si="18"/>
        <v>60502131</v>
      </c>
      <c r="M50" s="40">
        <f t="shared" si="19"/>
        <v>0.13329789878554402</v>
      </c>
      <c r="N50" s="106">
        <v>47918880</v>
      </c>
      <c r="O50" s="107">
        <v>15607914</v>
      </c>
      <c r="P50" s="108">
        <f t="shared" si="20"/>
        <v>63526794</v>
      </c>
      <c r="Q50" s="40">
        <f t="shared" si="21"/>
        <v>0.1399618164983661</v>
      </c>
      <c r="R50" s="106">
        <v>51983626</v>
      </c>
      <c r="S50" s="108">
        <v>11087416</v>
      </c>
      <c r="T50" s="108">
        <f t="shared" si="22"/>
        <v>63071042</v>
      </c>
      <c r="U50" s="40">
        <f t="shared" si="23"/>
        <v>0.13000505873543677</v>
      </c>
      <c r="V50" s="106">
        <v>0</v>
      </c>
      <c r="W50" s="108">
        <v>0</v>
      </c>
      <c r="X50" s="108">
        <f t="shared" si="24"/>
        <v>0</v>
      </c>
      <c r="Y50" s="40">
        <f t="shared" si="25"/>
        <v>0</v>
      </c>
      <c r="Z50" s="78">
        <f t="shared" si="26"/>
        <v>144668558</v>
      </c>
      <c r="AA50" s="79">
        <f t="shared" si="27"/>
        <v>42431409</v>
      </c>
      <c r="AB50" s="79">
        <f t="shared" si="28"/>
        <v>187099967</v>
      </c>
      <c r="AC50" s="40">
        <f t="shared" si="29"/>
        <v>0.38565943145878706</v>
      </c>
      <c r="AD50" s="78">
        <v>44639135</v>
      </c>
      <c r="AE50" s="79">
        <v>7965091</v>
      </c>
      <c r="AF50" s="79">
        <f t="shared" si="30"/>
        <v>52604226</v>
      </c>
      <c r="AG50" s="40">
        <f>IF(395109231=0,0,157736490/395109231)</f>
        <v>0.39922248741386657</v>
      </c>
      <c r="AH50" s="40">
        <f t="shared" si="31"/>
        <v>0.19897291141590023</v>
      </c>
      <c r="AI50" s="12">
        <v>391070062</v>
      </c>
      <c r="AJ50" s="12">
        <v>395109231</v>
      </c>
      <c r="AK50" s="12">
        <v>157736490</v>
      </c>
      <c r="AL50" s="12"/>
    </row>
    <row r="51" spans="1:38" s="13" customFormat="1" ht="12.75">
      <c r="A51" s="29" t="s">
        <v>95</v>
      </c>
      <c r="B51" s="61" t="s">
        <v>171</v>
      </c>
      <c r="C51" s="39" t="s">
        <v>172</v>
      </c>
      <c r="D51" s="78">
        <v>204889980</v>
      </c>
      <c r="E51" s="79">
        <v>52698873</v>
      </c>
      <c r="F51" s="80">
        <f t="shared" si="16"/>
        <v>257588853</v>
      </c>
      <c r="G51" s="78">
        <v>202418481</v>
      </c>
      <c r="H51" s="79">
        <v>60641000</v>
      </c>
      <c r="I51" s="81">
        <f t="shared" si="17"/>
        <v>263059481</v>
      </c>
      <c r="J51" s="78">
        <v>38016666</v>
      </c>
      <c r="K51" s="79">
        <v>10513275</v>
      </c>
      <c r="L51" s="79">
        <f t="shared" si="18"/>
        <v>48529941</v>
      </c>
      <c r="M51" s="40">
        <f t="shared" si="19"/>
        <v>0.18840078068129756</v>
      </c>
      <c r="N51" s="106">
        <v>45028403</v>
      </c>
      <c r="O51" s="107">
        <v>10231688</v>
      </c>
      <c r="P51" s="108">
        <f t="shared" si="20"/>
        <v>55260091</v>
      </c>
      <c r="Q51" s="40">
        <f t="shared" si="21"/>
        <v>0.2145282699791361</v>
      </c>
      <c r="R51" s="106">
        <v>34051607</v>
      </c>
      <c r="S51" s="108">
        <v>10808650</v>
      </c>
      <c r="T51" s="108">
        <f t="shared" si="22"/>
        <v>44860257</v>
      </c>
      <c r="U51" s="40">
        <f t="shared" si="23"/>
        <v>0.17053275110810395</v>
      </c>
      <c r="V51" s="106">
        <v>0</v>
      </c>
      <c r="W51" s="108">
        <v>0</v>
      </c>
      <c r="X51" s="108">
        <f t="shared" si="24"/>
        <v>0</v>
      </c>
      <c r="Y51" s="40">
        <f t="shared" si="25"/>
        <v>0</v>
      </c>
      <c r="Z51" s="78">
        <f t="shared" si="26"/>
        <v>117096676</v>
      </c>
      <c r="AA51" s="79">
        <f t="shared" si="27"/>
        <v>31553613</v>
      </c>
      <c r="AB51" s="79">
        <f t="shared" si="28"/>
        <v>148650289</v>
      </c>
      <c r="AC51" s="40">
        <f t="shared" si="29"/>
        <v>0.5650824233170292</v>
      </c>
      <c r="AD51" s="78">
        <v>25205020</v>
      </c>
      <c r="AE51" s="79">
        <v>7139356</v>
      </c>
      <c r="AF51" s="79">
        <f t="shared" si="30"/>
        <v>32344376</v>
      </c>
      <c r="AG51" s="40">
        <f>IF(248410799=0,0,133023820/248410799)</f>
        <v>0.535499344374316</v>
      </c>
      <c r="AH51" s="40">
        <f t="shared" si="31"/>
        <v>0.3869569473221557</v>
      </c>
      <c r="AI51" s="12">
        <v>202528111</v>
      </c>
      <c r="AJ51" s="12">
        <v>248410799</v>
      </c>
      <c r="AK51" s="12">
        <v>133023820</v>
      </c>
      <c r="AL51" s="12"/>
    </row>
    <row r="52" spans="1:38" s="13" customFormat="1" ht="12.75">
      <c r="A52" s="29" t="s">
        <v>95</v>
      </c>
      <c r="B52" s="61" t="s">
        <v>173</v>
      </c>
      <c r="C52" s="39" t="s">
        <v>174</v>
      </c>
      <c r="D52" s="78">
        <v>1068146356</v>
      </c>
      <c r="E52" s="79">
        <v>318320006</v>
      </c>
      <c r="F52" s="80">
        <f t="shared" si="16"/>
        <v>1386466362</v>
      </c>
      <c r="G52" s="78">
        <v>1130367729</v>
      </c>
      <c r="H52" s="79">
        <v>326690152</v>
      </c>
      <c r="I52" s="81">
        <f t="shared" si="17"/>
        <v>1457057881</v>
      </c>
      <c r="J52" s="78">
        <v>194237595</v>
      </c>
      <c r="K52" s="79">
        <v>44218411</v>
      </c>
      <c r="L52" s="79">
        <f t="shared" si="18"/>
        <v>238456006</v>
      </c>
      <c r="M52" s="40">
        <f t="shared" si="19"/>
        <v>0.1719883096594016</v>
      </c>
      <c r="N52" s="106">
        <v>264965921</v>
      </c>
      <c r="O52" s="107">
        <v>46781656</v>
      </c>
      <c r="P52" s="108">
        <f t="shared" si="20"/>
        <v>311747577</v>
      </c>
      <c r="Q52" s="40">
        <f t="shared" si="21"/>
        <v>0.22485044393742024</v>
      </c>
      <c r="R52" s="106">
        <v>128026647</v>
      </c>
      <c r="S52" s="108">
        <v>31539180</v>
      </c>
      <c r="T52" s="108">
        <f t="shared" si="22"/>
        <v>159565827</v>
      </c>
      <c r="U52" s="40">
        <f t="shared" si="23"/>
        <v>0.1095123461330772</v>
      </c>
      <c r="V52" s="106">
        <v>0</v>
      </c>
      <c r="W52" s="108">
        <v>0</v>
      </c>
      <c r="X52" s="108">
        <f t="shared" si="24"/>
        <v>0</v>
      </c>
      <c r="Y52" s="40">
        <f t="shared" si="25"/>
        <v>0</v>
      </c>
      <c r="Z52" s="78">
        <f t="shared" si="26"/>
        <v>587230163</v>
      </c>
      <c r="AA52" s="79">
        <f t="shared" si="27"/>
        <v>122539247</v>
      </c>
      <c r="AB52" s="79">
        <f t="shared" si="28"/>
        <v>709769410</v>
      </c>
      <c r="AC52" s="40">
        <f t="shared" si="29"/>
        <v>0.48712506157468155</v>
      </c>
      <c r="AD52" s="78">
        <v>160103022</v>
      </c>
      <c r="AE52" s="79">
        <v>57132775</v>
      </c>
      <c r="AF52" s="79">
        <f t="shared" si="30"/>
        <v>217235797</v>
      </c>
      <c r="AG52" s="40">
        <f>IF(1239880934=0,0,609973681/1239880934)</f>
        <v>0.4919614974900485</v>
      </c>
      <c r="AH52" s="40">
        <f t="shared" si="31"/>
        <v>-0.26547176292496577</v>
      </c>
      <c r="AI52" s="12">
        <v>1085947566</v>
      </c>
      <c r="AJ52" s="12">
        <v>1239880934</v>
      </c>
      <c r="AK52" s="12">
        <v>609973681</v>
      </c>
      <c r="AL52" s="12"/>
    </row>
    <row r="53" spans="1:38" s="13" customFormat="1" ht="12.75">
      <c r="A53" s="29" t="s">
        <v>114</v>
      </c>
      <c r="B53" s="61" t="s">
        <v>175</v>
      </c>
      <c r="C53" s="39" t="s">
        <v>176</v>
      </c>
      <c r="D53" s="78">
        <v>1524666390</v>
      </c>
      <c r="E53" s="79">
        <v>877559700</v>
      </c>
      <c r="F53" s="80">
        <f t="shared" si="16"/>
        <v>2402226090</v>
      </c>
      <c r="G53" s="78">
        <v>1524666390</v>
      </c>
      <c r="H53" s="79">
        <v>877559700</v>
      </c>
      <c r="I53" s="81">
        <f t="shared" si="17"/>
        <v>2402226090</v>
      </c>
      <c r="J53" s="78">
        <v>162495528</v>
      </c>
      <c r="K53" s="79">
        <v>118241609</v>
      </c>
      <c r="L53" s="79">
        <f t="shared" si="18"/>
        <v>280737137</v>
      </c>
      <c r="M53" s="40">
        <f t="shared" si="19"/>
        <v>0.11686541003307478</v>
      </c>
      <c r="N53" s="106">
        <v>195638357</v>
      </c>
      <c r="O53" s="107">
        <v>205281962</v>
      </c>
      <c r="P53" s="108">
        <f t="shared" si="20"/>
        <v>400920319</v>
      </c>
      <c r="Q53" s="40">
        <f t="shared" si="21"/>
        <v>0.16689533123836817</v>
      </c>
      <c r="R53" s="106">
        <v>189714455</v>
      </c>
      <c r="S53" s="108">
        <v>90771135</v>
      </c>
      <c r="T53" s="108">
        <f t="shared" si="22"/>
        <v>280485590</v>
      </c>
      <c r="U53" s="40">
        <f t="shared" si="23"/>
        <v>0.11676069590935131</v>
      </c>
      <c r="V53" s="106">
        <v>0</v>
      </c>
      <c r="W53" s="108">
        <v>0</v>
      </c>
      <c r="X53" s="108">
        <f t="shared" si="24"/>
        <v>0</v>
      </c>
      <c r="Y53" s="40">
        <f t="shared" si="25"/>
        <v>0</v>
      </c>
      <c r="Z53" s="78">
        <f t="shared" si="26"/>
        <v>547848340</v>
      </c>
      <c r="AA53" s="79">
        <f t="shared" si="27"/>
        <v>414294706</v>
      </c>
      <c r="AB53" s="79">
        <f t="shared" si="28"/>
        <v>962143046</v>
      </c>
      <c r="AC53" s="40">
        <f t="shared" si="29"/>
        <v>0.40052143718079425</v>
      </c>
      <c r="AD53" s="78">
        <v>173524117</v>
      </c>
      <c r="AE53" s="79">
        <v>84883848</v>
      </c>
      <c r="AF53" s="79">
        <f t="shared" si="30"/>
        <v>258407965</v>
      </c>
      <c r="AG53" s="40">
        <f>IF(1841841005=0,0,944605895/1841841005)</f>
        <v>0.5128596292707687</v>
      </c>
      <c r="AH53" s="40">
        <f t="shared" si="31"/>
        <v>0.08543709169336178</v>
      </c>
      <c r="AI53" s="12">
        <v>1841841005</v>
      </c>
      <c r="AJ53" s="12">
        <v>1841841005</v>
      </c>
      <c r="AK53" s="12">
        <v>944605895</v>
      </c>
      <c r="AL53" s="12"/>
    </row>
    <row r="54" spans="1:38" s="57" customFormat="1" ht="12.75">
      <c r="A54" s="62"/>
      <c r="B54" s="63" t="s">
        <v>177</v>
      </c>
      <c r="C54" s="32"/>
      <c r="D54" s="82">
        <f>SUM(D48:D53)</f>
        <v>3511714840</v>
      </c>
      <c r="E54" s="83">
        <f>SUM(E48:E53)</f>
        <v>1471041505</v>
      </c>
      <c r="F54" s="84">
        <f t="shared" si="16"/>
        <v>4982756345</v>
      </c>
      <c r="G54" s="82">
        <f>SUM(G48:G53)</f>
        <v>3580714216</v>
      </c>
      <c r="H54" s="83">
        <f>SUM(H48:H53)</f>
        <v>1512928154</v>
      </c>
      <c r="I54" s="84">
        <f t="shared" si="17"/>
        <v>5093642370</v>
      </c>
      <c r="J54" s="82">
        <f>SUM(J48:J53)</f>
        <v>510977191</v>
      </c>
      <c r="K54" s="83">
        <f>SUM(K48:K53)</f>
        <v>215771656</v>
      </c>
      <c r="L54" s="83">
        <f t="shared" si="18"/>
        <v>726748847</v>
      </c>
      <c r="M54" s="44">
        <f t="shared" si="19"/>
        <v>0.145852776391377</v>
      </c>
      <c r="N54" s="112">
        <f>SUM(N48:N53)</f>
        <v>624232602</v>
      </c>
      <c r="O54" s="113">
        <f>SUM(O48:O53)</f>
        <v>298770242</v>
      </c>
      <c r="P54" s="114">
        <f t="shared" si="20"/>
        <v>923002844</v>
      </c>
      <c r="Q54" s="44">
        <f t="shared" si="21"/>
        <v>0.1852394096946356</v>
      </c>
      <c r="R54" s="112">
        <f>SUM(R48:R53)</f>
        <v>469524701</v>
      </c>
      <c r="S54" s="114">
        <f>SUM(S48:S53)</f>
        <v>169445462</v>
      </c>
      <c r="T54" s="114">
        <f t="shared" si="22"/>
        <v>638970163</v>
      </c>
      <c r="U54" s="44">
        <f t="shared" si="23"/>
        <v>0.1254446458124621</v>
      </c>
      <c r="V54" s="112">
        <f>SUM(V48:V53)</f>
        <v>0</v>
      </c>
      <c r="W54" s="114">
        <f>SUM(W48:W53)</f>
        <v>0</v>
      </c>
      <c r="X54" s="114">
        <f t="shared" si="24"/>
        <v>0</v>
      </c>
      <c r="Y54" s="44">
        <f t="shared" si="25"/>
        <v>0</v>
      </c>
      <c r="Z54" s="82">
        <f t="shared" si="26"/>
        <v>1604734494</v>
      </c>
      <c r="AA54" s="83">
        <f t="shared" si="27"/>
        <v>683987360</v>
      </c>
      <c r="AB54" s="83">
        <f t="shared" si="28"/>
        <v>2288721854</v>
      </c>
      <c r="AC54" s="44">
        <f t="shared" si="29"/>
        <v>0.4493291220207908</v>
      </c>
      <c r="AD54" s="82">
        <f>SUM(AD48:AD53)</f>
        <v>453408770</v>
      </c>
      <c r="AE54" s="83">
        <f>SUM(AE48:AE53)</f>
        <v>183211628</v>
      </c>
      <c r="AF54" s="83">
        <f t="shared" si="30"/>
        <v>636620398</v>
      </c>
      <c r="AG54" s="44">
        <f>IF(1841841005=0,0,944605895/1841841005)</f>
        <v>0.5128596292707687</v>
      </c>
      <c r="AH54" s="44">
        <f t="shared" si="31"/>
        <v>0.003690998603535167</v>
      </c>
      <c r="AI54" s="64">
        <f>SUM(AI48:AI53)</f>
        <v>4159331089</v>
      </c>
      <c r="AJ54" s="64">
        <f>SUM(AJ48:AJ53)</f>
        <v>3971591316</v>
      </c>
      <c r="AK54" s="64">
        <f>SUM(AK48:AK53)</f>
        <v>2101663271</v>
      </c>
      <c r="AL54" s="64"/>
    </row>
    <row r="55" spans="1:38" s="13" customFormat="1" ht="12.75">
      <c r="A55" s="29" t="s">
        <v>95</v>
      </c>
      <c r="B55" s="61" t="s">
        <v>178</v>
      </c>
      <c r="C55" s="39" t="s">
        <v>179</v>
      </c>
      <c r="D55" s="78">
        <v>289979006</v>
      </c>
      <c r="E55" s="79">
        <v>143606403</v>
      </c>
      <c r="F55" s="80">
        <f t="shared" si="16"/>
        <v>433585409</v>
      </c>
      <c r="G55" s="78">
        <v>296106126</v>
      </c>
      <c r="H55" s="79">
        <v>126556887</v>
      </c>
      <c r="I55" s="80">
        <f t="shared" si="17"/>
        <v>422663013</v>
      </c>
      <c r="J55" s="78">
        <v>55314190</v>
      </c>
      <c r="K55" s="92">
        <v>35766453</v>
      </c>
      <c r="L55" s="79">
        <f t="shared" si="18"/>
        <v>91080643</v>
      </c>
      <c r="M55" s="40">
        <f t="shared" si="19"/>
        <v>0.21006390231180497</v>
      </c>
      <c r="N55" s="106">
        <v>56122493</v>
      </c>
      <c r="O55" s="107">
        <v>30735002</v>
      </c>
      <c r="P55" s="108">
        <f t="shared" si="20"/>
        <v>86857495</v>
      </c>
      <c r="Q55" s="40">
        <f t="shared" si="21"/>
        <v>0.20032384207836662</v>
      </c>
      <c r="R55" s="106">
        <v>56599364</v>
      </c>
      <c r="S55" s="108">
        <v>12933324</v>
      </c>
      <c r="T55" s="108">
        <f t="shared" si="22"/>
        <v>69532688</v>
      </c>
      <c r="U55" s="40">
        <f t="shared" si="23"/>
        <v>0.16451093628105093</v>
      </c>
      <c r="V55" s="106">
        <v>0</v>
      </c>
      <c r="W55" s="108">
        <v>0</v>
      </c>
      <c r="X55" s="108">
        <f t="shared" si="24"/>
        <v>0</v>
      </c>
      <c r="Y55" s="40">
        <f t="shared" si="25"/>
        <v>0</v>
      </c>
      <c r="Z55" s="78">
        <f t="shared" si="26"/>
        <v>168036047</v>
      </c>
      <c r="AA55" s="79">
        <f t="shared" si="27"/>
        <v>79434779</v>
      </c>
      <c r="AB55" s="79">
        <f t="shared" si="28"/>
        <v>247470826</v>
      </c>
      <c r="AC55" s="40">
        <f t="shared" si="29"/>
        <v>0.5855038609683123</v>
      </c>
      <c r="AD55" s="78">
        <v>56302705</v>
      </c>
      <c r="AE55" s="79">
        <v>16200921</v>
      </c>
      <c r="AF55" s="79">
        <f t="shared" si="30"/>
        <v>72503626</v>
      </c>
      <c r="AG55" s="40">
        <f>IF(390815762=0,0,216928917/390815762)</f>
        <v>0.5550669601703526</v>
      </c>
      <c r="AH55" s="40">
        <f t="shared" si="31"/>
        <v>-0.040976405786932624</v>
      </c>
      <c r="AI55" s="12">
        <v>405457918</v>
      </c>
      <c r="AJ55" s="12">
        <v>390815762</v>
      </c>
      <c r="AK55" s="12">
        <v>216928917</v>
      </c>
      <c r="AL55" s="12"/>
    </row>
    <row r="56" spans="1:38" s="13" customFormat="1" ht="12.75">
      <c r="A56" s="29" t="s">
        <v>95</v>
      </c>
      <c r="B56" s="61" t="s">
        <v>180</v>
      </c>
      <c r="C56" s="39" t="s">
        <v>181</v>
      </c>
      <c r="D56" s="78">
        <v>259718342</v>
      </c>
      <c r="E56" s="79">
        <v>85903890</v>
      </c>
      <c r="F56" s="80">
        <f t="shared" si="16"/>
        <v>345622232</v>
      </c>
      <c r="G56" s="78">
        <v>259718342</v>
      </c>
      <c r="H56" s="79">
        <v>108847588</v>
      </c>
      <c r="I56" s="81">
        <f t="shared" si="17"/>
        <v>368565930</v>
      </c>
      <c r="J56" s="78">
        <v>26511522</v>
      </c>
      <c r="K56" s="79">
        <v>11350142</v>
      </c>
      <c r="L56" s="79">
        <f t="shared" si="18"/>
        <v>37861664</v>
      </c>
      <c r="M56" s="40">
        <f t="shared" si="19"/>
        <v>0.10954637894937268</v>
      </c>
      <c r="N56" s="106">
        <v>28436193</v>
      </c>
      <c r="O56" s="107">
        <v>5789722</v>
      </c>
      <c r="P56" s="108">
        <f t="shared" si="20"/>
        <v>34225915</v>
      </c>
      <c r="Q56" s="40">
        <f t="shared" si="21"/>
        <v>0.09902694859050618</v>
      </c>
      <c r="R56" s="106">
        <v>35640832</v>
      </c>
      <c r="S56" s="108">
        <v>18821351</v>
      </c>
      <c r="T56" s="108">
        <f t="shared" si="22"/>
        <v>54462183</v>
      </c>
      <c r="U56" s="40">
        <f t="shared" si="23"/>
        <v>0.14776781728034385</v>
      </c>
      <c r="V56" s="106">
        <v>0</v>
      </c>
      <c r="W56" s="108">
        <v>0</v>
      </c>
      <c r="X56" s="108">
        <f t="shared" si="24"/>
        <v>0</v>
      </c>
      <c r="Y56" s="40">
        <f t="shared" si="25"/>
        <v>0</v>
      </c>
      <c r="Z56" s="78">
        <f t="shared" si="26"/>
        <v>90588547</v>
      </c>
      <c r="AA56" s="79">
        <f t="shared" si="27"/>
        <v>35961215</v>
      </c>
      <c r="AB56" s="79">
        <f t="shared" si="28"/>
        <v>126549762</v>
      </c>
      <c r="AC56" s="40">
        <f t="shared" si="29"/>
        <v>0.34335718985203</v>
      </c>
      <c r="AD56" s="78">
        <v>29462003</v>
      </c>
      <c r="AE56" s="79">
        <v>18669047</v>
      </c>
      <c r="AF56" s="79">
        <f t="shared" si="30"/>
        <v>48131050</v>
      </c>
      <c r="AG56" s="40">
        <f>IF(334989868=0,0,148854159/334989868)</f>
        <v>0.444354212528004</v>
      </c>
      <c r="AH56" s="40">
        <f t="shared" si="31"/>
        <v>0.13153947399859334</v>
      </c>
      <c r="AI56" s="12">
        <v>268219863</v>
      </c>
      <c r="AJ56" s="12">
        <v>334989868</v>
      </c>
      <c r="AK56" s="12">
        <v>148854159</v>
      </c>
      <c r="AL56" s="12"/>
    </row>
    <row r="57" spans="1:38" s="13" customFormat="1" ht="12.75">
      <c r="A57" s="29" t="s">
        <v>95</v>
      </c>
      <c r="B57" s="61" t="s">
        <v>182</v>
      </c>
      <c r="C57" s="39" t="s">
        <v>183</v>
      </c>
      <c r="D57" s="78">
        <v>344321880</v>
      </c>
      <c r="E57" s="79">
        <v>93606219</v>
      </c>
      <c r="F57" s="80">
        <f t="shared" si="16"/>
        <v>437928099</v>
      </c>
      <c r="G57" s="78">
        <v>254290531</v>
      </c>
      <c r="H57" s="79">
        <v>95267676</v>
      </c>
      <c r="I57" s="81">
        <f t="shared" si="17"/>
        <v>349558207</v>
      </c>
      <c r="J57" s="78">
        <v>70595257</v>
      </c>
      <c r="K57" s="79">
        <v>24198083</v>
      </c>
      <c r="L57" s="79">
        <f t="shared" si="18"/>
        <v>94793340</v>
      </c>
      <c r="M57" s="40">
        <f t="shared" si="19"/>
        <v>0.21645868400876464</v>
      </c>
      <c r="N57" s="106">
        <v>69058361</v>
      </c>
      <c r="O57" s="107">
        <v>25879171</v>
      </c>
      <c r="P57" s="108">
        <f t="shared" si="20"/>
        <v>94937532</v>
      </c>
      <c r="Q57" s="40">
        <f t="shared" si="21"/>
        <v>0.21678794353864925</v>
      </c>
      <c r="R57" s="106">
        <v>58937879</v>
      </c>
      <c r="S57" s="108">
        <v>15154929</v>
      </c>
      <c r="T57" s="108">
        <f t="shared" si="22"/>
        <v>74092808</v>
      </c>
      <c r="U57" s="40">
        <f t="shared" si="23"/>
        <v>0.21196128861022565</v>
      </c>
      <c r="V57" s="106">
        <v>0</v>
      </c>
      <c r="W57" s="108">
        <v>0</v>
      </c>
      <c r="X57" s="108">
        <f t="shared" si="24"/>
        <v>0</v>
      </c>
      <c r="Y57" s="40">
        <f t="shared" si="25"/>
        <v>0</v>
      </c>
      <c r="Z57" s="78">
        <f t="shared" si="26"/>
        <v>198591497</v>
      </c>
      <c r="AA57" s="79">
        <f t="shared" si="27"/>
        <v>65232183</v>
      </c>
      <c r="AB57" s="79">
        <f t="shared" si="28"/>
        <v>263823680</v>
      </c>
      <c r="AC57" s="40">
        <f t="shared" si="29"/>
        <v>0.7547346184894466</v>
      </c>
      <c r="AD57" s="78">
        <v>69138707</v>
      </c>
      <c r="AE57" s="79">
        <v>32452072</v>
      </c>
      <c r="AF57" s="79">
        <f t="shared" si="30"/>
        <v>101590779</v>
      </c>
      <c r="AG57" s="40">
        <f>IF(626408715=0,0,242861583/626408715)</f>
        <v>0.3877046681893626</v>
      </c>
      <c r="AH57" s="40">
        <f t="shared" si="31"/>
        <v>-0.2706738866526459</v>
      </c>
      <c r="AI57" s="12">
        <v>579953918</v>
      </c>
      <c r="AJ57" s="12">
        <v>626408715</v>
      </c>
      <c r="AK57" s="12">
        <v>242861583</v>
      </c>
      <c r="AL57" s="12"/>
    </row>
    <row r="58" spans="1:38" s="13" customFormat="1" ht="12.75">
      <c r="A58" s="29" t="s">
        <v>95</v>
      </c>
      <c r="B58" s="61" t="s">
        <v>184</v>
      </c>
      <c r="C58" s="39" t="s">
        <v>185</v>
      </c>
      <c r="D58" s="78">
        <v>109374072</v>
      </c>
      <c r="E58" s="79">
        <v>111536150</v>
      </c>
      <c r="F58" s="80">
        <f t="shared" si="16"/>
        <v>220910222</v>
      </c>
      <c r="G58" s="78">
        <v>113547057</v>
      </c>
      <c r="H58" s="79">
        <v>112965591</v>
      </c>
      <c r="I58" s="80">
        <f t="shared" si="17"/>
        <v>226512648</v>
      </c>
      <c r="J58" s="78">
        <v>23735539</v>
      </c>
      <c r="K58" s="92">
        <v>11821821</v>
      </c>
      <c r="L58" s="79">
        <f t="shared" si="18"/>
        <v>35557360</v>
      </c>
      <c r="M58" s="40">
        <f t="shared" si="19"/>
        <v>0.16095841866475513</v>
      </c>
      <c r="N58" s="106">
        <v>29090019</v>
      </c>
      <c r="O58" s="107">
        <v>19129490</v>
      </c>
      <c r="P58" s="108">
        <f t="shared" si="20"/>
        <v>48219509</v>
      </c>
      <c r="Q58" s="40">
        <f t="shared" si="21"/>
        <v>0.2182764951456162</v>
      </c>
      <c r="R58" s="106">
        <v>25963072</v>
      </c>
      <c r="S58" s="108">
        <v>18513933</v>
      </c>
      <c r="T58" s="108">
        <f t="shared" si="22"/>
        <v>44477005</v>
      </c>
      <c r="U58" s="40">
        <f t="shared" si="23"/>
        <v>0.19635550329180734</v>
      </c>
      <c r="V58" s="106">
        <v>0</v>
      </c>
      <c r="W58" s="108">
        <v>0</v>
      </c>
      <c r="X58" s="108">
        <f t="shared" si="24"/>
        <v>0</v>
      </c>
      <c r="Y58" s="40">
        <f t="shared" si="25"/>
        <v>0</v>
      </c>
      <c r="Z58" s="78">
        <f t="shared" si="26"/>
        <v>78788630</v>
      </c>
      <c r="AA58" s="79">
        <f t="shared" si="27"/>
        <v>49465244</v>
      </c>
      <c r="AB58" s="79">
        <f t="shared" si="28"/>
        <v>128253874</v>
      </c>
      <c r="AC58" s="40">
        <f t="shared" si="29"/>
        <v>0.5662106515129345</v>
      </c>
      <c r="AD58" s="78">
        <v>20837179</v>
      </c>
      <c r="AE58" s="79">
        <v>21431316</v>
      </c>
      <c r="AF58" s="79">
        <f t="shared" si="30"/>
        <v>42268495</v>
      </c>
      <c r="AG58" s="40">
        <f>IF(161254578=0,0,103431678/161254578)</f>
        <v>0.6414185524704917</v>
      </c>
      <c r="AH58" s="40">
        <f t="shared" si="31"/>
        <v>0.05224955371607143</v>
      </c>
      <c r="AI58" s="12">
        <v>210583872</v>
      </c>
      <c r="AJ58" s="12">
        <v>161254578</v>
      </c>
      <c r="AK58" s="12">
        <v>103431678</v>
      </c>
      <c r="AL58" s="12"/>
    </row>
    <row r="59" spans="1:38" s="13" customFormat="1" ht="12.75">
      <c r="A59" s="29" t="s">
        <v>114</v>
      </c>
      <c r="B59" s="61" t="s">
        <v>186</v>
      </c>
      <c r="C59" s="39" t="s">
        <v>187</v>
      </c>
      <c r="D59" s="78">
        <v>494832047</v>
      </c>
      <c r="E59" s="79">
        <v>723401033</v>
      </c>
      <c r="F59" s="80">
        <f t="shared" si="16"/>
        <v>1218233080</v>
      </c>
      <c r="G59" s="78">
        <v>597069914</v>
      </c>
      <c r="H59" s="79">
        <v>635211858</v>
      </c>
      <c r="I59" s="80">
        <f t="shared" si="17"/>
        <v>1232281772</v>
      </c>
      <c r="J59" s="78">
        <v>99215130</v>
      </c>
      <c r="K59" s="92">
        <v>154582886</v>
      </c>
      <c r="L59" s="79">
        <f t="shared" si="18"/>
        <v>253798016</v>
      </c>
      <c r="M59" s="40">
        <f t="shared" si="19"/>
        <v>0.2083328881530618</v>
      </c>
      <c r="N59" s="106">
        <v>119643141</v>
      </c>
      <c r="O59" s="107">
        <v>208554785</v>
      </c>
      <c r="P59" s="108">
        <f t="shared" si="20"/>
        <v>328197926</v>
      </c>
      <c r="Q59" s="40">
        <f t="shared" si="21"/>
        <v>0.26940487119262924</v>
      </c>
      <c r="R59" s="106">
        <v>145646167</v>
      </c>
      <c r="S59" s="108">
        <v>32946112</v>
      </c>
      <c r="T59" s="108">
        <f t="shared" si="22"/>
        <v>178592279</v>
      </c>
      <c r="U59" s="40">
        <f t="shared" si="23"/>
        <v>0.14492811876146133</v>
      </c>
      <c r="V59" s="106">
        <v>0</v>
      </c>
      <c r="W59" s="108">
        <v>0</v>
      </c>
      <c r="X59" s="108">
        <f t="shared" si="24"/>
        <v>0</v>
      </c>
      <c r="Y59" s="40">
        <f t="shared" si="25"/>
        <v>0</v>
      </c>
      <c r="Z59" s="78">
        <f t="shared" si="26"/>
        <v>364504438</v>
      </c>
      <c r="AA59" s="79">
        <f t="shared" si="27"/>
        <v>396083783</v>
      </c>
      <c r="AB59" s="79">
        <f t="shared" si="28"/>
        <v>760588221</v>
      </c>
      <c r="AC59" s="40">
        <f t="shared" si="29"/>
        <v>0.6172194041023273</v>
      </c>
      <c r="AD59" s="78">
        <v>112637000</v>
      </c>
      <c r="AE59" s="79">
        <v>177195345</v>
      </c>
      <c r="AF59" s="79">
        <f t="shared" si="30"/>
        <v>289832345</v>
      </c>
      <c r="AG59" s="40">
        <f>IF(1249782251=0,0,709611149/1249782251)</f>
        <v>0.5677878273853002</v>
      </c>
      <c r="AH59" s="40">
        <f t="shared" si="31"/>
        <v>-0.38380832201457704</v>
      </c>
      <c r="AI59" s="12">
        <v>1259710876</v>
      </c>
      <c r="AJ59" s="12">
        <v>1249782251</v>
      </c>
      <c r="AK59" s="12">
        <v>709611149</v>
      </c>
      <c r="AL59" s="12"/>
    </row>
    <row r="60" spans="1:38" s="57" customFormat="1" ht="12.75">
      <c r="A60" s="62"/>
      <c r="B60" s="63" t="s">
        <v>188</v>
      </c>
      <c r="C60" s="32"/>
      <c r="D60" s="82">
        <f>SUM(D55:D59)</f>
        <v>1498225347</v>
      </c>
      <c r="E60" s="83">
        <f>SUM(E55:E59)</f>
        <v>1158053695</v>
      </c>
      <c r="F60" s="84">
        <f t="shared" si="16"/>
        <v>2656279042</v>
      </c>
      <c r="G60" s="82">
        <f>SUM(G55:G59)</f>
        <v>1520731970</v>
      </c>
      <c r="H60" s="83">
        <f>SUM(H55:H59)</f>
        <v>1078849600</v>
      </c>
      <c r="I60" s="91">
        <f t="shared" si="17"/>
        <v>2599581570</v>
      </c>
      <c r="J60" s="82">
        <f>SUM(J55:J59)</f>
        <v>275371638</v>
      </c>
      <c r="K60" s="93">
        <f>SUM(K55:K59)</f>
        <v>237719385</v>
      </c>
      <c r="L60" s="83">
        <f t="shared" si="18"/>
        <v>513091023</v>
      </c>
      <c r="M60" s="44">
        <f t="shared" si="19"/>
        <v>0.1931615673230162</v>
      </c>
      <c r="N60" s="112">
        <f>SUM(N55:N59)</f>
        <v>302350207</v>
      </c>
      <c r="O60" s="113">
        <f>SUM(O55:O59)</f>
        <v>290088170</v>
      </c>
      <c r="P60" s="114">
        <f t="shared" si="20"/>
        <v>592438377</v>
      </c>
      <c r="Q60" s="44">
        <f t="shared" si="21"/>
        <v>0.22303318575820016</v>
      </c>
      <c r="R60" s="112">
        <f>SUM(R55:R59)</f>
        <v>322787314</v>
      </c>
      <c r="S60" s="114">
        <f>SUM(S55:S59)</f>
        <v>98369649</v>
      </c>
      <c r="T60" s="114">
        <f t="shared" si="22"/>
        <v>421156963</v>
      </c>
      <c r="U60" s="44">
        <f t="shared" si="23"/>
        <v>0.162009520247522</v>
      </c>
      <c r="V60" s="112">
        <f>SUM(V55:V59)</f>
        <v>0</v>
      </c>
      <c r="W60" s="114">
        <f>SUM(W55:W59)</f>
        <v>0</v>
      </c>
      <c r="X60" s="114">
        <f t="shared" si="24"/>
        <v>0</v>
      </c>
      <c r="Y60" s="44">
        <f t="shared" si="25"/>
        <v>0</v>
      </c>
      <c r="Z60" s="82">
        <f t="shared" si="26"/>
        <v>900509159</v>
      </c>
      <c r="AA60" s="83">
        <f t="shared" si="27"/>
        <v>626177204</v>
      </c>
      <c r="AB60" s="83">
        <f t="shared" si="28"/>
        <v>1526686363</v>
      </c>
      <c r="AC60" s="44">
        <f t="shared" si="29"/>
        <v>0.5872815766269647</v>
      </c>
      <c r="AD60" s="82">
        <f>SUM(AD55:AD59)</f>
        <v>288377594</v>
      </c>
      <c r="AE60" s="83">
        <f>SUM(AE55:AE59)</f>
        <v>265948701</v>
      </c>
      <c r="AF60" s="83">
        <f t="shared" si="30"/>
        <v>554326295</v>
      </c>
      <c r="AG60" s="44">
        <f>IF(1249782251=0,0,709611149/1249782251)</f>
        <v>0.5677878273853002</v>
      </c>
      <c r="AH60" s="44">
        <f t="shared" si="31"/>
        <v>-0.24023636114898717</v>
      </c>
      <c r="AI60" s="64">
        <f>SUM(AI55:AI59)</f>
        <v>2723926447</v>
      </c>
      <c r="AJ60" s="64">
        <f>SUM(AJ55:AJ59)</f>
        <v>2763251174</v>
      </c>
      <c r="AK60" s="64">
        <f>SUM(AK55:AK59)</f>
        <v>1421687486</v>
      </c>
      <c r="AL60" s="64"/>
    </row>
    <row r="61" spans="1:38" s="57" customFormat="1" ht="12.75">
      <c r="A61" s="62"/>
      <c r="B61" s="63" t="s">
        <v>189</v>
      </c>
      <c r="C61" s="32"/>
      <c r="D61" s="82">
        <f>SUM(D9:D10,D12:D21,D23:D30,D32:D40,D42:D46,D48:D53,D55:D59)</f>
        <v>28842958959</v>
      </c>
      <c r="E61" s="83">
        <f>SUM(E9:E10,E12:E21,E23:E30,E32:E40,E42:E46,E48:E53,E55:E59)</f>
        <v>8365649700</v>
      </c>
      <c r="F61" s="84">
        <f t="shared" si="16"/>
        <v>37208608659</v>
      </c>
      <c r="G61" s="82">
        <f>SUM(G9:G10,G12:G21,G23:G30,G32:G40,G42:G46,G48:G53,G55:G59)</f>
        <v>28418795159</v>
      </c>
      <c r="H61" s="83">
        <f>SUM(H9:H10,H12:H21,H23:H30,H32:H40,H42:H46,H48:H53,H55:H59)</f>
        <v>7926165374</v>
      </c>
      <c r="I61" s="91">
        <f t="shared" si="17"/>
        <v>36344960533</v>
      </c>
      <c r="J61" s="82">
        <f>SUM(J9:J10,J12:J21,J23:J30,J32:J40,J42:J46,J48:J53,J55:J59)</f>
        <v>5942386272</v>
      </c>
      <c r="K61" s="93">
        <f>SUM(K9:K10,K12:K21,K23:K30,K32:K40,K42:K46,K48:K53,K55:K59)</f>
        <v>1279851841</v>
      </c>
      <c r="L61" s="83">
        <f t="shared" si="18"/>
        <v>7222238113</v>
      </c>
      <c r="M61" s="44">
        <f t="shared" si="19"/>
        <v>0.19410126777887698</v>
      </c>
      <c r="N61" s="112">
        <f>SUM(N9:N10,N12:N21,N23:N30,N32:N40,N42:N46,N48:N53,N55:N59)</f>
        <v>6301952633</v>
      </c>
      <c r="O61" s="113">
        <f>SUM(O9:O10,O12:O21,O23:O30,O32:O40,O42:O46,O48:O53,O55:O59)</f>
        <v>1804148139</v>
      </c>
      <c r="P61" s="114">
        <f t="shared" si="20"/>
        <v>8106100772</v>
      </c>
      <c r="Q61" s="44">
        <f t="shared" si="21"/>
        <v>0.2178555195731378</v>
      </c>
      <c r="R61" s="112">
        <f>SUM(R9:R10,R12:R21,R23:R30,R32:R40,R42:R46,R48:R53,R55:R59)</f>
        <v>5951860103</v>
      </c>
      <c r="S61" s="114">
        <f>SUM(S9:S10,S12:S21,S23:S30,S32:S40,S42:S46,S48:S53,S55:S59)</f>
        <v>1055414186</v>
      </c>
      <c r="T61" s="114">
        <f t="shared" si="22"/>
        <v>7007274289</v>
      </c>
      <c r="U61" s="44">
        <f t="shared" si="23"/>
        <v>0.19279906171964697</v>
      </c>
      <c r="V61" s="112">
        <f>SUM(V9:V10,V12:V21,V23:V30,V32:V40,V42:V46,V48:V53,V55:V59)</f>
        <v>0</v>
      </c>
      <c r="W61" s="114">
        <f>SUM(W9:W10,W12:W21,W23:W30,W32:W40,W42:W46,W48:W53,W55:W59)</f>
        <v>0</v>
      </c>
      <c r="X61" s="114">
        <f t="shared" si="24"/>
        <v>0</v>
      </c>
      <c r="Y61" s="44">
        <f t="shared" si="25"/>
        <v>0</v>
      </c>
      <c r="Z61" s="82">
        <f t="shared" si="26"/>
        <v>18196199008</v>
      </c>
      <c r="AA61" s="83">
        <f t="shared" si="27"/>
        <v>4139414166</v>
      </c>
      <c r="AB61" s="83">
        <f t="shared" si="28"/>
        <v>22335613174</v>
      </c>
      <c r="AC61" s="44">
        <f t="shared" si="29"/>
        <v>0.6145449835808741</v>
      </c>
      <c r="AD61" s="82">
        <f>SUM(AD9:AD10,AD12:AD21,AD23:AD30,AD32:AD40,AD42:AD46,AD48:AD53,AD55:AD59)</f>
        <v>5398913623</v>
      </c>
      <c r="AE61" s="83">
        <f>SUM(AE9:AE10,AE12:AE21,AE23:AE30,AE32:AE40,AE42:AE46,AE48:AE53,AE55:AE59)</f>
        <v>1353148976</v>
      </c>
      <c r="AF61" s="83">
        <f t="shared" si="30"/>
        <v>6752062599</v>
      </c>
      <c r="AG61" s="44">
        <f>IF(1249782251=0,0,709611149/1249782251)</f>
        <v>0.5677878273853002</v>
      </c>
      <c r="AH61" s="44">
        <f t="shared" si="31"/>
        <v>0.03779758944145417</v>
      </c>
      <c r="AI61" s="64">
        <f>SUM(AI9:AI10,AI12:AI21,AI23:AI30,AI32:AI40,AI42:AI46,AI48:AI53,AI55:AI59)</f>
        <v>33089298942</v>
      </c>
      <c r="AJ61" s="64">
        <f>SUM(AJ9:AJ10,AJ12:AJ21,AJ23:AJ30,AJ32:AJ40,AJ42:AJ46,AJ48:AJ53,AJ55:AJ59)</f>
        <v>34114397360</v>
      </c>
      <c r="AK61" s="64">
        <f>SUM(AK9:AK10,AK12:AK21,AK23:AK30,AK32:AK40,AK42:AK46,AK48:AK53,AK55:AK59)</f>
        <v>20415638898</v>
      </c>
      <c r="AL61" s="64"/>
    </row>
    <row r="62" spans="1:38" s="13" customFormat="1" ht="12.75">
      <c r="A62" s="65"/>
      <c r="B62" s="66"/>
      <c r="C62" s="67"/>
      <c r="D62" s="94"/>
      <c r="E62" s="94"/>
      <c r="F62" s="95"/>
      <c r="G62" s="96"/>
      <c r="H62" s="94"/>
      <c r="I62" s="97"/>
      <c r="J62" s="96"/>
      <c r="K62" s="98"/>
      <c r="L62" s="94"/>
      <c r="M62" s="71"/>
      <c r="N62" s="96"/>
      <c r="O62" s="98"/>
      <c r="P62" s="94"/>
      <c r="Q62" s="71"/>
      <c r="R62" s="96"/>
      <c r="S62" s="98"/>
      <c r="T62" s="94"/>
      <c r="U62" s="71"/>
      <c r="V62" s="96"/>
      <c r="W62" s="98"/>
      <c r="X62" s="94"/>
      <c r="Y62" s="71"/>
      <c r="Z62" s="96"/>
      <c r="AA62" s="98"/>
      <c r="AB62" s="94"/>
      <c r="AC62" s="71"/>
      <c r="AD62" s="96"/>
      <c r="AE62" s="94"/>
      <c r="AF62" s="94"/>
      <c r="AG62" s="71"/>
      <c r="AH62" s="71"/>
      <c r="AI62" s="12"/>
      <c r="AJ62" s="12"/>
      <c r="AK62" s="12"/>
      <c r="AL62" s="12"/>
    </row>
    <row r="63" spans="1:38" s="13" customFormat="1" ht="12.75" customHeight="1">
      <c r="A63" s="12"/>
      <c r="B63" s="58"/>
      <c r="C63" s="12"/>
      <c r="D63" s="89"/>
      <c r="E63" s="89"/>
      <c r="F63" s="89"/>
      <c r="G63" s="89"/>
      <c r="H63" s="89"/>
      <c r="I63" s="89"/>
      <c r="J63" s="89"/>
      <c r="K63" s="89"/>
      <c r="L63" s="89"/>
      <c r="M63" s="12"/>
      <c r="N63" s="89"/>
      <c r="O63" s="89"/>
      <c r="P63" s="89"/>
      <c r="Q63" s="12"/>
      <c r="R63" s="89"/>
      <c r="S63" s="89"/>
      <c r="T63" s="89"/>
      <c r="U63" s="12"/>
      <c r="V63" s="89"/>
      <c r="W63" s="89"/>
      <c r="X63" s="89"/>
      <c r="Y63" s="12"/>
      <c r="Z63" s="89"/>
      <c r="AA63" s="89"/>
      <c r="AB63" s="89"/>
      <c r="AC63" s="12"/>
      <c r="AD63" s="89"/>
      <c r="AE63" s="89"/>
      <c r="AF63" s="89"/>
      <c r="AG63" s="12"/>
      <c r="AH63" s="12"/>
      <c r="AI63" s="12"/>
      <c r="AJ63" s="12"/>
      <c r="AK63" s="12"/>
      <c r="AL63" s="12"/>
    </row>
    <row r="64" spans="1:38" ht="12.75" customHeight="1">
      <c r="A64" s="2"/>
      <c r="B64" s="59"/>
      <c r="C64" s="59"/>
      <c r="D64" s="101"/>
      <c r="E64" s="101"/>
      <c r="F64" s="101"/>
      <c r="G64" s="101"/>
      <c r="H64" s="101"/>
      <c r="I64" s="101"/>
      <c r="J64" s="101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73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6" width="10.7109375" style="3" hidden="1" customWidth="1"/>
    <col min="37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22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93</v>
      </c>
      <c r="B9" s="61" t="s">
        <v>49</v>
      </c>
      <c r="C9" s="39" t="s">
        <v>50</v>
      </c>
      <c r="D9" s="78">
        <v>6206925733</v>
      </c>
      <c r="E9" s="79">
        <v>1793890539</v>
      </c>
      <c r="F9" s="80">
        <f>$D9+$E9</f>
        <v>8000816272</v>
      </c>
      <c r="G9" s="78">
        <v>5938209543</v>
      </c>
      <c r="H9" s="79">
        <v>1851179482</v>
      </c>
      <c r="I9" s="81">
        <f>$G9+$H9</f>
        <v>7789389025</v>
      </c>
      <c r="J9" s="78">
        <v>1366018595</v>
      </c>
      <c r="K9" s="79">
        <v>242491695</v>
      </c>
      <c r="L9" s="79">
        <f>$J9+$K9</f>
        <v>1608510290</v>
      </c>
      <c r="M9" s="40">
        <f>IF($F9=0,0,$L9/$F9)</f>
        <v>0.20104327300068264</v>
      </c>
      <c r="N9" s="106">
        <v>1431669374</v>
      </c>
      <c r="O9" s="107">
        <v>461320624</v>
      </c>
      <c r="P9" s="108">
        <f>$N9+$O9</f>
        <v>1892989998</v>
      </c>
      <c r="Q9" s="40">
        <f>IF($F9=0,0,$P9/$F9)</f>
        <v>0.23659960854554166</v>
      </c>
      <c r="R9" s="106">
        <v>1306178095</v>
      </c>
      <c r="S9" s="108">
        <v>354949247</v>
      </c>
      <c r="T9" s="108">
        <f>$R9+$S9</f>
        <v>1661127342</v>
      </c>
      <c r="U9" s="40">
        <f>IF($I9=0,0,$T9/$I9)</f>
        <v>0.21325515219083566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4103866064</v>
      </c>
      <c r="AA9" s="79">
        <f>$K9+$O9+$S9</f>
        <v>1058761566</v>
      </c>
      <c r="AB9" s="79">
        <f>$Z9+$AA9</f>
        <v>5162627630</v>
      </c>
      <c r="AC9" s="40">
        <f>IF($I9=0,0,$AB9/$I9)</f>
        <v>0.6627769666440558</v>
      </c>
      <c r="AD9" s="78">
        <v>1195940184</v>
      </c>
      <c r="AE9" s="79">
        <v>265256420</v>
      </c>
      <c r="AF9" s="79">
        <f>$AD9+$AE9</f>
        <v>1461196604</v>
      </c>
      <c r="AG9" s="40">
        <f>IF(7209072133=0,0,4458224165/7209072133)</f>
        <v>0.6184185818577382</v>
      </c>
      <c r="AH9" s="40">
        <f>IF($AF9=0,0,(($T9/$AF9)-1))</f>
        <v>0.13682671958906356</v>
      </c>
      <c r="AI9" s="12">
        <v>7393509832</v>
      </c>
      <c r="AJ9" s="12">
        <v>7209072133</v>
      </c>
      <c r="AK9" s="12">
        <v>4458224165</v>
      </c>
      <c r="AL9" s="12"/>
    </row>
    <row r="10" spans="1:38" s="57" customFormat="1" ht="12.75">
      <c r="A10" s="62"/>
      <c r="B10" s="63" t="s">
        <v>94</v>
      </c>
      <c r="C10" s="32"/>
      <c r="D10" s="82">
        <f>D9</f>
        <v>6206925733</v>
      </c>
      <c r="E10" s="83">
        <f>E9</f>
        <v>1793890539</v>
      </c>
      <c r="F10" s="91">
        <f aca="true" t="shared" si="0" ref="F10:F38">$D10+$E10</f>
        <v>8000816272</v>
      </c>
      <c r="G10" s="82">
        <f>G9</f>
        <v>5938209543</v>
      </c>
      <c r="H10" s="83">
        <f>H9</f>
        <v>1851179482</v>
      </c>
      <c r="I10" s="84">
        <f aca="true" t="shared" si="1" ref="I10:I38">$G10+$H10</f>
        <v>7789389025</v>
      </c>
      <c r="J10" s="82">
        <f>J9</f>
        <v>1366018595</v>
      </c>
      <c r="K10" s="83">
        <f>K9</f>
        <v>242491695</v>
      </c>
      <c r="L10" s="83">
        <f aca="true" t="shared" si="2" ref="L10:L38">$J10+$K10</f>
        <v>1608510290</v>
      </c>
      <c r="M10" s="44">
        <f aca="true" t="shared" si="3" ref="M10:M38">IF($F10=0,0,$L10/$F10)</f>
        <v>0.20104327300068264</v>
      </c>
      <c r="N10" s="112">
        <f>N9</f>
        <v>1431669374</v>
      </c>
      <c r="O10" s="113">
        <f>O9</f>
        <v>461320624</v>
      </c>
      <c r="P10" s="114">
        <f aca="true" t="shared" si="4" ref="P10:P38">$N10+$O10</f>
        <v>1892989998</v>
      </c>
      <c r="Q10" s="44">
        <f aca="true" t="shared" si="5" ref="Q10:Q38">IF($F10=0,0,$P10/$F10)</f>
        <v>0.23659960854554166</v>
      </c>
      <c r="R10" s="112">
        <f>R9</f>
        <v>1306178095</v>
      </c>
      <c r="S10" s="114">
        <f>S9</f>
        <v>354949247</v>
      </c>
      <c r="T10" s="114">
        <f aca="true" t="shared" si="6" ref="T10:T38">$R10+$S10</f>
        <v>1661127342</v>
      </c>
      <c r="U10" s="44">
        <f aca="true" t="shared" si="7" ref="U10:U38">IF($I10=0,0,$T10/$I10)</f>
        <v>0.21325515219083566</v>
      </c>
      <c r="V10" s="112">
        <f>V9</f>
        <v>0</v>
      </c>
      <c r="W10" s="114">
        <f>W9</f>
        <v>0</v>
      </c>
      <c r="X10" s="114">
        <f aca="true" t="shared" si="8" ref="X10:X38">$V10+$W10</f>
        <v>0</v>
      </c>
      <c r="Y10" s="44">
        <f aca="true" t="shared" si="9" ref="Y10:Y38">IF($I10=0,0,$X10/$I10)</f>
        <v>0</v>
      </c>
      <c r="Z10" s="82">
        <f aca="true" t="shared" si="10" ref="Z10:Z38">$J10+$N10+$R10</f>
        <v>4103866064</v>
      </c>
      <c r="AA10" s="83">
        <f aca="true" t="shared" si="11" ref="AA10:AA38">$K10+$O10+$S10</f>
        <v>1058761566</v>
      </c>
      <c r="AB10" s="83">
        <f aca="true" t="shared" si="12" ref="AB10:AB38">$Z10+$AA10</f>
        <v>5162627630</v>
      </c>
      <c r="AC10" s="44">
        <f aca="true" t="shared" si="13" ref="AC10:AC38">IF($I10=0,0,$AB10/$I10)</f>
        <v>0.6627769666440558</v>
      </c>
      <c r="AD10" s="82">
        <f>AD9</f>
        <v>1195940184</v>
      </c>
      <c r="AE10" s="83">
        <f>AE9</f>
        <v>265256420</v>
      </c>
      <c r="AF10" s="83">
        <f aca="true" t="shared" si="14" ref="AF10:AF38">$AD10+$AE10</f>
        <v>1461196604</v>
      </c>
      <c r="AG10" s="44">
        <f>IF(7209072133=0,0,4458224165/7209072133)</f>
        <v>0.6184185818577382</v>
      </c>
      <c r="AH10" s="44">
        <f aca="true" t="shared" si="15" ref="AH10:AH38">IF($AF10=0,0,(($T10/$AF10)-1))</f>
        <v>0.13682671958906356</v>
      </c>
      <c r="AI10" s="64">
        <f>AI9</f>
        <v>7393509832</v>
      </c>
      <c r="AJ10" s="64">
        <f>AJ9</f>
        <v>7209072133</v>
      </c>
      <c r="AK10" s="64">
        <f>AK9</f>
        <v>4458224165</v>
      </c>
      <c r="AL10" s="64"/>
    </row>
    <row r="11" spans="1:38" s="13" customFormat="1" ht="12.75">
      <c r="A11" s="29" t="s">
        <v>95</v>
      </c>
      <c r="B11" s="61" t="s">
        <v>190</v>
      </c>
      <c r="C11" s="39" t="s">
        <v>191</v>
      </c>
      <c r="D11" s="78">
        <v>132636427</v>
      </c>
      <c r="E11" s="79">
        <v>66806936</v>
      </c>
      <c r="F11" s="80">
        <f t="shared" si="0"/>
        <v>199443363</v>
      </c>
      <c r="G11" s="78">
        <v>115543906</v>
      </c>
      <c r="H11" s="79">
        <v>22219295</v>
      </c>
      <c r="I11" s="81">
        <f t="shared" si="1"/>
        <v>137763201</v>
      </c>
      <c r="J11" s="78">
        <v>22350482</v>
      </c>
      <c r="K11" s="79">
        <v>1989935</v>
      </c>
      <c r="L11" s="79">
        <f t="shared" si="2"/>
        <v>24340417</v>
      </c>
      <c r="M11" s="40">
        <f t="shared" si="3"/>
        <v>0.12204174976732618</v>
      </c>
      <c r="N11" s="106">
        <v>21780899</v>
      </c>
      <c r="O11" s="107">
        <v>7287343</v>
      </c>
      <c r="P11" s="108">
        <f t="shared" si="4"/>
        <v>29068242</v>
      </c>
      <c r="Q11" s="40">
        <f t="shared" si="5"/>
        <v>0.145746850447964</v>
      </c>
      <c r="R11" s="106">
        <v>20638098</v>
      </c>
      <c r="S11" s="108">
        <v>3126409</v>
      </c>
      <c r="T11" s="108">
        <f t="shared" si="6"/>
        <v>23764507</v>
      </c>
      <c r="U11" s="40">
        <f t="shared" si="7"/>
        <v>0.17250257563338703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64769479</v>
      </c>
      <c r="AA11" s="79">
        <f t="shared" si="11"/>
        <v>12403687</v>
      </c>
      <c r="AB11" s="79">
        <f t="shared" si="12"/>
        <v>77173166</v>
      </c>
      <c r="AC11" s="40">
        <f t="shared" si="13"/>
        <v>0.5601870850837736</v>
      </c>
      <c r="AD11" s="78">
        <v>22073643</v>
      </c>
      <c r="AE11" s="79">
        <v>4780712</v>
      </c>
      <c r="AF11" s="79">
        <f t="shared" si="14"/>
        <v>26854355</v>
      </c>
      <c r="AG11" s="40">
        <f>IF(156786331=0,0,70280016/156786331)</f>
        <v>0.44825346413648776</v>
      </c>
      <c r="AH11" s="40">
        <f t="shared" si="15"/>
        <v>-0.11505947545565698</v>
      </c>
      <c r="AI11" s="12">
        <v>179144000</v>
      </c>
      <c r="AJ11" s="12">
        <v>156786331</v>
      </c>
      <c r="AK11" s="12">
        <v>70280016</v>
      </c>
      <c r="AL11" s="12"/>
    </row>
    <row r="12" spans="1:38" s="13" customFormat="1" ht="12.75">
      <c r="A12" s="29" t="s">
        <v>95</v>
      </c>
      <c r="B12" s="61" t="s">
        <v>192</v>
      </c>
      <c r="C12" s="39" t="s">
        <v>193</v>
      </c>
      <c r="D12" s="78">
        <v>318957292</v>
      </c>
      <c r="E12" s="79">
        <v>56714000</v>
      </c>
      <c r="F12" s="80">
        <f t="shared" si="0"/>
        <v>375671292</v>
      </c>
      <c r="G12" s="78">
        <v>348752392</v>
      </c>
      <c r="H12" s="79">
        <v>45701000</v>
      </c>
      <c r="I12" s="81">
        <f t="shared" si="1"/>
        <v>394453392</v>
      </c>
      <c r="J12" s="78">
        <v>39840276</v>
      </c>
      <c r="K12" s="79">
        <v>1770069</v>
      </c>
      <c r="L12" s="79">
        <f t="shared" si="2"/>
        <v>41610345</v>
      </c>
      <c r="M12" s="40">
        <f t="shared" si="3"/>
        <v>0.11076264246457246</v>
      </c>
      <c r="N12" s="106">
        <v>28297202</v>
      </c>
      <c r="O12" s="107">
        <v>2116884</v>
      </c>
      <c r="P12" s="108">
        <f t="shared" si="4"/>
        <v>30414086</v>
      </c>
      <c r="Q12" s="40">
        <f t="shared" si="5"/>
        <v>0.08095930311331855</v>
      </c>
      <c r="R12" s="106">
        <v>33394412</v>
      </c>
      <c r="S12" s="108">
        <v>842338</v>
      </c>
      <c r="T12" s="108">
        <f t="shared" si="6"/>
        <v>34236750</v>
      </c>
      <c r="U12" s="40">
        <f t="shared" si="7"/>
        <v>0.08679542550365495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101531890</v>
      </c>
      <c r="AA12" s="79">
        <f t="shared" si="11"/>
        <v>4729291</v>
      </c>
      <c r="AB12" s="79">
        <f t="shared" si="12"/>
        <v>106261181</v>
      </c>
      <c r="AC12" s="40">
        <f t="shared" si="13"/>
        <v>0.2693884325882537</v>
      </c>
      <c r="AD12" s="78">
        <v>39951745</v>
      </c>
      <c r="AE12" s="79">
        <v>6100989</v>
      </c>
      <c r="AF12" s="79">
        <f t="shared" si="14"/>
        <v>46052734</v>
      </c>
      <c r="AG12" s="40">
        <f>IF(320446284=0,0,140430715/320446284)</f>
        <v>0.4382348056811918</v>
      </c>
      <c r="AH12" s="40">
        <f t="shared" si="15"/>
        <v>-0.25657508194844636</v>
      </c>
      <c r="AI12" s="12">
        <v>328913000</v>
      </c>
      <c r="AJ12" s="12">
        <v>320446284</v>
      </c>
      <c r="AK12" s="12">
        <v>140430715</v>
      </c>
      <c r="AL12" s="12"/>
    </row>
    <row r="13" spans="1:38" s="13" customFormat="1" ht="12.75">
      <c r="A13" s="29" t="s">
        <v>95</v>
      </c>
      <c r="B13" s="61" t="s">
        <v>194</v>
      </c>
      <c r="C13" s="39" t="s">
        <v>195</v>
      </c>
      <c r="D13" s="78">
        <v>168416008</v>
      </c>
      <c r="E13" s="79">
        <v>87508100</v>
      </c>
      <c r="F13" s="80">
        <f t="shared" si="0"/>
        <v>255924108</v>
      </c>
      <c r="G13" s="78">
        <v>173350070</v>
      </c>
      <c r="H13" s="79">
        <v>76860000</v>
      </c>
      <c r="I13" s="81">
        <f t="shared" si="1"/>
        <v>250210070</v>
      </c>
      <c r="J13" s="78">
        <v>25782117</v>
      </c>
      <c r="K13" s="79">
        <v>14378749</v>
      </c>
      <c r="L13" s="79">
        <f t="shared" si="2"/>
        <v>40160866</v>
      </c>
      <c r="M13" s="40">
        <f t="shared" si="3"/>
        <v>0.1569249036905894</v>
      </c>
      <c r="N13" s="106">
        <v>22291470</v>
      </c>
      <c r="O13" s="107">
        <v>25856738</v>
      </c>
      <c r="P13" s="108">
        <f t="shared" si="4"/>
        <v>48148208</v>
      </c>
      <c r="Q13" s="40">
        <f t="shared" si="5"/>
        <v>0.18813471062288512</v>
      </c>
      <c r="R13" s="106">
        <v>16475964</v>
      </c>
      <c r="S13" s="108">
        <v>21139070</v>
      </c>
      <c r="T13" s="108">
        <f t="shared" si="6"/>
        <v>37615034</v>
      </c>
      <c r="U13" s="40">
        <f t="shared" si="7"/>
        <v>0.15033381350318953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64549551</v>
      </c>
      <c r="AA13" s="79">
        <f t="shared" si="11"/>
        <v>61374557</v>
      </c>
      <c r="AB13" s="79">
        <f t="shared" si="12"/>
        <v>125924108</v>
      </c>
      <c r="AC13" s="40">
        <f t="shared" si="13"/>
        <v>0.5032735413087092</v>
      </c>
      <c r="AD13" s="78">
        <v>19486077</v>
      </c>
      <c r="AE13" s="79">
        <v>8502302</v>
      </c>
      <c r="AF13" s="79">
        <f t="shared" si="14"/>
        <v>27988379</v>
      </c>
      <c r="AG13" s="40">
        <f>IF(223297105=0,0,103313213/223297105)</f>
        <v>0.4626715290375126</v>
      </c>
      <c r="AH13" s="40">
        <f t="shared" si="15"/>
        <v>0.34395185944852336</v>
      </c>
      <c r="AI13" s="12">
        <v>230832865</v>
      </c>
      <c r="AJ13" s="12">
        <v>223297105</v>
      </c>
      <c r="AK13" s="12">
        <v>103313213</v>
      </c>
      <c r="AL13" s="12"/>
    </row>
    <row r="14" spans="1:38" s="13" customFormat="1" ht="12.75">
      <c r="A14" s="29" t="s">
        <v>95</v>
      </c>
      <c r="B14" s="61" t="s">
        <v>196</v>
      </c>
      <c r="C14" s="39" t="s">
        <v>197</v>
      </c>
      <c r="D14" s="78">
        <v>99587200</v>
      </c>
      <c r="E14" s="79">
        <v>13368000</v>
      </c>
      <c r="F14" s="80">
        <f t="shared" si="0"/>
        <v>112955200</v>
      </c>
      <c r="G14" s="78">
        <v>99587200</v>
      </c>
      <c r="H14" s="79">
        <v>13368000</v>
      </c>
      <c r="I14" s="81">
        <f t="shared" si="1"/>
        <v>112955200</v>
      </c>
      <c r="J14" s="78">
        <v>13281864</v>
      </c>
      <c r="K14" s="79">
        <v>2951273</v>
      </c>
      <c r="L14" s="79">
        <f t="shared" si="2"/>
        <v>16233137</v>
      </c>
      <c r="M14" s="40">
        <f t="shared" si="3"/>
        <v>0.14371305614969473</v>
      </c>
      <c r="N14" s="106">
        <v>17106990</v>
      </c>
      <c r="O14" s="107">
        <v>1138710</v>
      </c>
      <c r="P14" s="108">
        <f t="shared" si="4"/>
        <v>18245700</v>
      </c>
      <c r="Q14" s="40">
        <f t="shared" si="5"/>
        <v>0.16153041205716956</v>
      </c>
      <c r="R14" s="106">
        <v>14425652</v>
      </c>
      <c r="S14" s="108">
        <v>0</v>
      </c>
      <c r="T14" s="108">
        <f t="shared" si="6"/>
        <v>14425652</v>
      </c>
      <c r="U14" s="40">
        <f t="shared" si="7"/>
        <v>0.12771126960069124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44814506</v>
      </c>
      <c r="AA14" s="79">
        <f t="shared" si="11"/>
        <v>4089983</v>
      </c>
      <c r="AB14" s="79">
        <f t="shared" si="12"/>
        <v>48904489</v>
      </c>
      <c r="AC14" s="40">
        <f t="shared" si="13"/>
        <v>0.43295473780755556</v>
      </c>
      <c r="AD14" s="78">
        <v>14515369</v>
      </c>
      <c r="AE14" s="79">
        <v>3765248</v>
      </c>
      <c r="AF14" s="79">
        <f t="shared" si="14"/>
        <v>18280617</v>
      </c>
      <c r="AG14" s="40">
        <f>IF(111324861=0,0,53898124/111324861)</f>
        <v>0.4841517295943446</v>
      </c>
      <c r="AH14" s="40">
        <f t="shared" si="15"/>
        <v>-0.21087718209948825</v>
      </c>
      <c r="AI14" s="12">
        <v>110635144</v>
      </c>
      <c r="AJ14" s="12">
        <v>111324861</v>
      </c>
      <c r="AK14" s="12">
        <v>53898124</v>
      </c>
      <c r="AL14" s="12"/>
    </row>
    <row r="15" spans="1:38" s="13" customFormat="1" ht="12.75">
      <c r="A15" s="29" t="s">
        <v>114</v>
      </c>
      <c r="B15" s="61" t="s">
        <v>198</v>
      </c>
      <c r="C15" s="39" t="s">
        <v>199</v>
      </c>
      <c r="D15" s="78">
        <v>55637065</v>
      </c>
      <c r="E15" s="79">
        <v>915000</v>
      </c>
      <c r="F15" s="80">
        <f t="shared" si="0"/>
        <v>56552065</v>
      </c>
      <c r="G15" s="78">
        <v>55679212</v>
      </c>
      <c r="H15" s="79">
        <v>45800</v>
      </c>
      <c r="I15" s="81">
        <f t="shared" si="1"/>
        <v>55725012</v>
      </c>
      <c r="J15" s="78">
        <v>10937771</v>
      </c>
      <c r="K15" s="79">
        <v>0</v>
      </c>
      <c r="L15" s="79">
        <f t="shared" si="2"/>
        <v>10937771</v>
      </c>
      <c r="M15" s="40">
        <f t="shared" si="3"/>
        <v>0.19341063849746248</v>
      </c>
      <c r="N15" s="106">
        <v>12853834</v>
      </c>
      <c r="O15" s="107">
        <v>0</v>
      </c>
      <c r="P15" s="108">
        <f t="shared" si="4"/>
        <v>12853834</v>
      </c>
      <c r="Q15" s="40">
        <f t="shared" si="5"/>
        <v>0.2272920361086726</v>
      </c>
      <c r="R15" s="106">
        <v>11334095</v>
      </c>
      <c r="S15" s="108">
        <v>0</v>
      </c>
      <c r="T15" s="108">
        <f t="shared" si="6"/>
        <v>11334095</v>
      </c>
      <c r="U15" s="40">
        <f t="shared" si="7"/>
        <v>0.20339331645186545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35125700</v>
      </c>
      <c r="AA15" s="79">
        <f t="shared" si="11"/>
        <v>0</v>
      </c>
      <c r="AB15" s="79">
        <f t="shared" si="12"/>
        <v>35125700</v>
      </c>
      <c r="AC15" s="40">
        <f t="shared" si="13"/>
        <v>0.6303399270690152</v>
      </c>
      <c r="AD15" s="78">
        <v>12464209</v>
      </c>
      <c r="AE15" s="79">
        <v>0</v>
      </c>
      <c r="AF15" s="79">
        <f t="shared" si="14"/>
        <v>12464209</v>
      </c>
      <c r="AG15" s="40">
        <f>IF(64428219=0,0,38825256/64428219)</f>
        <v>0.6026125912311808</v>
      </c>
      <c r="AH15" s="40">
        <f t="shared" si="15"/>
        <v>-0.09066872996112307</v>
      </c>
      <c r="AI15" s="12">
        <v>68278878</v>
      </c>
      <c r="AJ15" s="12">
        <v>64428219</v>
      </c>
      <c r="AK15" s="12">
        <v>38825256</v>
      </c>
      <c r="AL15" s="12"/>
    </row>
    <row r="16" spans="1:38" s="57" customFormat="1" ht="12.75">
      <c r="A16" s="62"/>
      <c r="B16" s="63" t="s">
        <v>200</v>
      </c>
      <c r="C16" s="32"/>
      <c r="D16" s="82">
        <f>SUM(D11:D15)</f>
        <v>775233992</v>
      </c>
      <c r="E16" s="83">
        <f>SUM(E11:E15)</f>
        <v>225312036</v>
      </c>
      <c r="F16" s="91">
        <f t="shared" si="0"/>
        <v>1000546028</v>
      </c>
      <c r="G16" s="82">
        <f>SUM(G11:G15)</f>
        <v>792912780</v>
      </c>
      <c r="H16" s="83">
        <f>SUM(H11:H15)</f>
        <v>158194095</v>
      </c>
      <c r="I16" s="84">
        <f t="shared" si="1"/>
        <v>951106875</v>
      </c>
      <c r="J16" s="82">
        <f>SUM(J11:J15)</f>
        <v>112192510</v>
      </c>
      <c r="K16" s="83">
        <f>SUM(K11:K15)</f>
        <v>21090026</v>
      </c>
      <c r="L16" s="83">
        <f t="shared" si="2"/>
        <v>133282536</v>
      </c>
      <c r="M16" s="44">
        <f t="shared" si="3"/>
        <v>0.13320979971947877</v>
      </c>
      <c r="N16" s="112">
        <f>SUM(N11:N15)</f>
        <v>102330395</v>
      </c>
      <c r="O16" s="113">
        <f>SUM(O11:O15)</f>
        <v>36399675</v>
      </c>
      <c r="P16" s="114">
        <f t="shared" si="4"/>
        <v>138730070</v>
      </c>
      <c r="Q16" s="44">
        <f t="shared" si="5"/>
        <v>0.13865436083666108</v>
      </c>
      <c r="R16" s="112">
        <f>SUM(R11:R15)</f>
        <v>96268221</v>
      </c>
      <c r="S16" s="114">
        <f>SUM(S11:S15)</f>
        <v>25107817</v>
      </c>
      <c r="T16" s="114">
        <f t="shared" si="6"/>
        <v>121376038</v>
      </c>
      <c r="U16" s="44">
        <f t="shared" si="7"/>
        <v>0.1276155616055241</v>
      </c>
      <c r="V16" s="112">
        <f>SUM(V11:V15)</f>
        <v>0</v>
      </c>
      <c r="W16" s="114">
        <f>SUM(W11:W15)</f>
        <v>0</v>
      </c>
      <c r="X16" s="114">
        <f t="shared" si="8"/>
        <v>0</v>
      </c>
      <c r="Y16" s="44">
        <f t="shared" si="9"/>
        <v>0</v>
      </c>
      <c r="Z16" s="82">
        <f t="shared" si="10"/>
        <v>310791126</v>
      </c>
      <c r="AA16" s="83">
        <f t="shared" si="11"/>
        <v>82597518</v>
      </c>
      <c r="AB16" s="83">
        <f t="shared" si="12"/>
        <v>393388644</v>
      </c>
      <c r="AC16" s="44">
        <f t="shared" si="13"/>
        <v>0.41361139777272665</v>
      </c>
      <c r="AD16" s="82">
        <f>SUM(AD11:AD15)</f>
        <v>108491043</v>
      </c>
      <c r="AE16" s="83">
        <f>SUM(AE11:AE15)</f>
        <v>23149251</v>
      </c>
      <c r="AF16" s="83">
        <f t="shared" si="14"/>
        <v>131640294</v>
      </c>
      <c r="AG16" s="44">
        <f>IF(64428219=0,0,38825256/64428219)</f>
        <v>0.6026125912311808</v>
      </c>
      <c r="AH16" s="44">
        <f t="shared" si="15"/>
        <v>-0.07797199237491825</v>
      </c>
      <c r="AI16" s="64">
        <f>SUM(AI11:AI15)</f>
        <v>917803887</v>
      </c>
      <c r="AJ16" s="64">
        <f>SUM(AJ11:AJ15)</f>
        <v>876282800</v>
      </c>
      <c r="AK16" s="64">
        <f>SUM(AK11:AK15)</f>
        <v>406747324</v>
      </c>
      <c r="AL16" s="64"/>
    </row>
    <row r="17" spans="1:38" s="13" customFormat="1" ht="12.75">
      <c r="A17" s="29" t="s">
        <v>95</v>
      </c>
      <c r="B17" s="61" t="s">
        <v>201</v>
      </c>
      <c r="C17" s="39" t="s">
        <v>202</v>
      </c>
      <c r="D17" s="78">
        <v>255870085</v>
      </c>
      <c r="E17" s="79">
        <v>33789665</v>
      </c>
      <c r="F17" s="80">
        <f t="shared" si="0"/>
        <v>289659750</v>
      </c>
      <c r="G17" s="78">
        <v>247139534</v>
      </c>
      <c r="H17" s="79">
        <v>47979000</v>
      </c>
      <c r="I17" s="81">
        <f t="shared" si="1"/>
        <v>295118534</v>
      </c>
      <c r="J17" s="78">
        <v>64349529</v>
      </c>
      <c r="K17" s="79">
        <v>8748919</v>
      </c>
      <c r="L17" s="79">
        <f t="shared" si="2"/>
        <v>73098448</v>
      </c>
      <c r="M17" s="40">
        <f t="shared" si="3"/>
        <v>0.25235970133924374</v>
      </c>
      <c r="N17" s="106">
        <v>49600495</v>
      </c>
      <c r="O17" s="107">
        <v>7252436</v>
      </c>
      <c r="P17" s="108">
        <f t="shared" si="4"/>
        <v>56852931</v>
      </c>
      <c r="Q17" s="40">
        <f t="shared" si="5"/>
        <v>0.1962748742274341</v>
      </c>
      <c r="R17" s="106">
        <v>39858334</v>
      </c>
      <c r="S17" s="108">
        <v>16366863</v>
      </c>
      <c r="T17" s="108">
        <f t="shared" si="6"/>
        <v>56225197</v>
      </c>
      <c r="U17" s="40">
        <f t="shared" si="7"/>
        <v>0.19051733633239043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153808358</v>
      </c>
      <c r="AA17" s="79">
        <f t="shared" si="11"/>
        <v>32368218</v>
      </c>
      <c r="AB17" s="79">
        <f t="shared" si="12"/>
        <v>186176576</v>
      </c>
      <c r="AC17" s="40">
        <f t="shared" si="13"/>
        <v>0.6308535539147128</v>
      </c>
      <c r="AD17" s="78">
        <v>19422747</v>
      </c>
      <c r="AE17" s="79">
        <v>11926542</v>
      </c>
      <c r="AF17" s="79">
        <f t="shared" si="14"/>
        <v>31349289</v>
      </c>
      <c r="AG17" s="40">
        <f>IF(326571693=0,0,111166580/326571693)</f>
        <v>0.34040482498279484</v>
      </c>
      <c r="AH17" s="40">
        <f t="shared" si="15"/>
        <v>0.7935078846604782</v>
      </c>
      <c r="AI17" s="12">
        <v>266542711</v>
      </c>
      <c r="AJ17" s="12">
        <v>326571693</v>
      </c>
      <c r="AK17" s="12">
        <v>111166580</v>
      </c>
      <c r="AL17" s="12"/>
    </row>
    <row r="18" spans="1:38" s="13" customFormat="1" ht="12.75">
      <c r="A18" s="29" t="s">
        <v>95</v>
      </c>
      <c r="B18" s="61" t="s">
        <v>203</v>
      </c>
      <c r="C18" s="39" t="s">
        <v>204</v>
      </c>
      <c r="D18" s="78">
        <v>87812452</v>
      </c>
      <c r="E18" s="79">
        <v>50326351</v>
      </c>
      <c r="F18" s="80">
        <f t="shared" si="0"/>
        <v>138138803</v>
      </c>
      <c r="G18" s="78">
        <v>87812452</v>
      </c>
      <c r="H18" s="79">
        <v>50326351</v>
      </c>
      <c r="I18" s="81">
        <f t="shared" si="1"/>
        <v>138138803</v>
      </c>
      <c r="J18" s="78">
        <v>21408411</v>
      </c>
      <c r="K18" s="79">
        <v>7283988</v>
      </c>
      <c r="L18" s="79">
        <f t="shared" si="2"/>
        <v>28692399</v>
      </c>
      <c r="M18" s="40">
        <f t="shared" si="3"/>
        <v>0.20770701914942755</v>
      </c>
      <c r="N18" s="106">
        <v>23521554</v>
      </c>
      <c r="O18" s="107">
        <v>2921991</v>
      </c>
      <c r="P18" s="108">
        <f t="shared" si="4"/>
        <v>26443545</v>
      </c>
      <c r="Q18" s="40">
        <f t="shared" si="5"/>
        <v>0.19142735006904613</v>
      </c>
      <c r="R18" s="106">
        <v>17010983</v>
      </c>
      <c r="S18" s="108">
        <v>5034460</v>
      </c>
      <c r="T18" s="108">
        <f t="shared" si="6"/>
        <v>22045443</v>
      </c>
      <c r="U18" s="40">
        <f t="shared" si="7"/>
        <v>0.15958906926390554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61940948</v>
      </c>
      <c r="AA18" s="79">
        <f t="shared" si="11"/>
        <v>15240439</v>
      </c>
      <c r="AB18" s="79">
        <f t="shared" si="12"/>
        <v>77181387</v>
      </c>
      <c r="AC18" s="40">
        <f t="shared" si="13"/>
        <v>0.5587234384823792</v>
      </c>
      <c r="AD18" s="78">
        <v>13327591</v>
      </c>
      <c r="AE18" s="79">
        <v>2676971</v>
      </c>
      <c r="AF18" s="79">
        <f t="shared" si="14"/>
        <v>16004562</v>
      </c>
      <c r="AG18" s="40">
        <f>IF(101736474=0,0,56531454/101736474)</f>
        <v>0.5556655521597889</v>
      </c>
      <c r="AH18" s="40">
        <f t="shared" si="15"/>
        <v>0.37744744279787223</v>
      </c>
      <c r="AI18" s="12">
        <v>101737033</v>
      </c>
      <c r="AJ18" s="12">
        <v>101736474</v>
      </c>
      <c r="AK18" s="12">
        <v>56531454</v>
      </c>
      <c r="AL18" s="12"/>
    </row>
    <row r="19" spans="1:38" s="13" customFormat="1" ht="12.75">
      <c r="A19" s="29" t="s">
        <v>95</v>
      </c>
      <c r="B19" s="61" t="s">
        <v>205</v>
      </c>
      <c r="C19" s="39" t="s">
        <v>206</v>
      </c>
      <c r="D19" s="78">
        <v>152560846</v>
      </c>
      <c r="E19" s="79">
        <v>20571000</v>
      </c>
      <c r="F19" s="81">
        <f t="shared" si="0"/>
        <v>173131846</v>
      </c>
      <c r="G19" s="78">
        <v>112758996</v>
      </c>
      <c r="H19" s="79">
        <v>41855000</v>
      </c>
      <c r="I19" s="81">
        <f t="shared" si="1"/>
        <v>154613996</v>
      </c>
      <c r="J19" s="78">
        <v>38268174</v>
      </c>
      <c r="K19" s="79">
        <v>2660664</v>
      </c>
      <c r="L19" s="79">
        <f t="shared" si="2"/>
        <v>40928838</v>
      </c>
      <c r="M19" s="40">
        <f t="shared" si="3"/>
        <v>0.2364027124160624</v>
      </c>
      <c r="N19" s="106">
        <v>32213305</v>
      </c>
      <c r="O19" s="107">
        <v>1691996</v>
      </c>
      <c r="P19" s="108">
        <f t="shared" si="4"/>
        <v>33905301</v>
      </c>
      <c r="Q19" s="40">
        <f t="shared" si="5"/>
        <v>0.1958351498198662</v>
      </c>
      <c r="R19" s="106">
        <v>24770884</v>
      </c>
      <c r="S19" s="108">
        <v>2958083</v>
      </c>
      <c r="T19" s="108">
        <f t="shared" si="6"/>
        <v>27728967</v>
      </c>
      <c r="U19" s="40">
        <f t="shared" si="7"/>
        <v>0.17934318831006735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95252363</v>
      </c>
      <c r="AA19" s="79">
        <f t="shared" si="11"/>
        <v>7310743</v>
      </c>
      <c r="AB19" s="79">
        <f t="shared" si="12"/>
        <v>102563106</v>
      </c>
      <c r="AC19" s="40">
        <f t="shared" si="13"/>
        <v>0.6633494292457198</v>
      </c>
      <c r="AD19" s="78">
        <v>31666897</v>
      </c>
      <c r="AE19" s="79">
        <v>2853327</v>
      </c>
      <c r="AF19" s="79">
        <f t="shared" si="14"/>
        <v>34520224</v>
      </c>
      <c r="AG19" s="40">
        <f>IF(149298900=0,0,115105023/149298900)</f>
        <v>0.7709703353474138</v>
      </c>
      <c r="AH19" s="40">
        <f t="shared" si="15"/>
        <v>-0.19673270370435603</v>
      </c>
      <c r="AI19" s="12">
        <v>138324672</v>
      </c>
      <c r="AJ19" s="12">
        <v>149298900</v>
      </c>
      <c r="AK19" s="12">
        <v>115105023</v>
      </c>
      <c r="AL19" s="12"/>
    </row>
    <row r="20" spans="1:38" s="13" customFormat="1" ht="12.75">
      <c r="A20" s="29" t="s">
        <v>95</v>
      </c>
      <c r="B20" s="61" t="s">
        <v>69</v>
      </c>
      <c r="C20" s="39" t="s">
        <v>70</v>
      </c>
      <c r="D20" s="78">
        <v>2068070714</v>
      </c>
      <c r="E20" s="79">
        <v>146450187</v>
      </c>
      <c r="F20" s="80">
        <f t="shared" si="0"/>
        <v>2214520901</v>
      </c>
      <c r="G20" s="78">
        <v>2045070714</v>
      </c>
      <c r="H20" s="79">
        <v>146451000</v>
      </c>
      <c r="I20" s="81">
        <f t="shared" si="1"/>
        <v>2191521714</v>
      </c>
      <c r="J20" s="78">
        <v>270843399</v>
      </c>
      <c r="K20" s="79">
        <v>19515351</v>
      </c>
      <c r="L20" s="79">
        <f t="shared" si="2"/>
        <v>290358750</v>
      </c>
      <c r="M20" s="40">
        <f t="shared" si="3"/>
        <v>0.1311158318121469</v>
      </c>
      <c r="N20" s="106">
        <v>308161748</v>
      </c>
      <c r="O20" s="107">
        <v>10954532</v>
      </c>
      <c r="P20" s="108">
        <f t="shared" si="4"/>
        <v>319116280</v>
      </c>
      <c r="Q20" s="40">
        <f t="shared" si="5"/>
        <v>0.14410172414985936</v>
      </c>
      <c r="R20" s="106">
        <v>397683948</v>
      </c>
      <c r="S20" s="108">
        <v>32167745</v>
      </c>
      <c r="T20" s="108">
        <f t="shared" si="6"/>
        <v>429851693</v>
      </c>
      <c r="U20" s="40">
        <f t="shared" si="7"/>
        <v>0.19614302256463975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976689095</v>
      </c>
      <c r="AA20" s="79">
        <f t="shared" si="11"/>
        <v>62637628</v>
      </c>
      <c r="AB20" s="79">
        <f t="shared" si="12"/>
        <v>1039326723</v>
      </c>
      <c r="AC20" s="40">
        <f t="shared" si="13"/>
        <v>0.47424888211716804</v>
      </c>
      <c r="AD20" s="78">
        <v>254890175</v>
      </c>
      <c r="AE20" s="79">
        <v>34513995</v>
      </c>
      <c r="AF20" s="79">
        <f t="shared" si="14"/>
        <v>289404170</v>
      </c>
      <c r="AG20" s="40">
        <f>IF(2120319441=0,0,1000504925/2120319441)</f>
        <v>0.4718651848648498</v>
      </c>
      <c r="AH20" s="40">
        <f t="shared" si="15"/>
        <v>0.4852988918577088</v>
      </c>
      <c r="AI20" s="12">
        <v>2152317319</v>
      </c>
      <c r="AJ20" s="12">
        <v>2120319441</v>
      </c>
      <c r="AK20" s="12">
        <v>1000504925</v>
      </c>
      <c r="AL20" s="12"/>
    </row>
    <row r="21" spans="1:38" s="13" customFormat="1" ht="12.75">
      <c r="A21" s="29" t="s">
        <v>95</v>
      </c>
      <c r="B21" s="61" t="s">
        <v>207</v>
      </c>
      <c r="C21" s="39" t="s">
        <v>208</v>
      </c>
      <c r="D21" s="78">
        <v>475530489</v>
      </c>
      <c r="E21" s="79">
        <v>45853000</v>
      </c>
      <c r="F21" s="80">
        <f t="shared" si="0"/>
        <v>521383489</v>
      </c>
      <c r="G21" s="78">
        <v>459144000</v>
      </c>
      <c r="H21" s="79">
        <v>45853000</v>
      </c>
      <c r="I21" s="81">
        <f t="shared" si="1"/>
        <v>504997000</v>
      </c>
      <c r="J21" s="78">
        <v>72184609</v>
      </c>
      <c r="K21" s="79">
        <v>7842850</v>
      </c>
      <c r="L21" s="79">
        <f t="shared" si="2"/>
        <v>80027459</v>
      </c>
      <c r="M21" s="40">
        <f t="shared" si="3"/>
        <v>0.1534905893423871</v>
      </c>
      <c r="N21" s="106">
        <v>86961582</v>
      </c>
      <c r="O21" s="107">
        <v>8597268</v>
      </c>
      <c r="P21" s="108">
        <f t="shared" si="4"/>
        <v>95558850</v>
      </c>
      <c r="Q21" s="40">
        <f t="shared" si="5"/>
        <v>0.18327939418119932</v>
      </c>
      <c r="R21" s="106">
        <v>80754732</v>
      </c>
      <c r="S21" s="108">
        <v>6873123</v>
      </c>
      <c r="T21" s="108">
        <f t="shared" si="6"/>
        <v>87627855</v>
      </c>
      <c r="U21" s="40">
        <f t="shared" si="7"/>
        <v>0.17352153577149965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239900923</v>
      </c>
      <c r="AA21" s="79">
        <f t="shared" si="11"/>
        <v>23313241</v>
      </c>
      <c r="AB21" s="79">
        <f t="shared" si="12"/>
        <v>263214164</v>
      </c>
      <c r="AC21" s="40">
        <f t="shared" si="13"/>
        <v>0.5212192626886892</v>
      </c>
      <c r="AD21" s="78">
        <v>90680875</v>
      </c>
      <c r="AE21" s="79">
        <v>10073442</v>
      </c>
      <c r="AF21" s="79">
        <f t="shared" si="14"/>
        <v>100754317</v>
      </c>
      <c r="AG21" s="40">
        <f>IF(510652000=0,0,240739867/510652000)</f>
        <v>0.4714362560021306</v>
      </c>
      <c r="AH21" s="40">
        <f t="shared" si="15"/>
        <v>-0.13028188161902776</v>
      </c>
      <c r="AI21" s="12">
        <v>482283056</v>
      </c>
      <c r="AJ21" s="12">
        <v>510652000</v>
      </c>
      <c r="AK21" s="12">
        <v>240739867</v>
      </c>
      <c r="AL21" s="12"/>
    </row>
    <row r="22" spans="1:38" s="13" customFormat="1" ht="12.75">
      <c r="A22" s="29" t="s">
        <v>114</v>
      </c>
      <c r="B22" s="61" t="s">
        <v>209</v>
      </c>
      <c r="C22" s="39" t="s">
        <v>210</v>
      </c>
      <c r="D22" s="78">
        <v>119438323</v>
      </c>
      <c r="E22" s="79">
        <v>1660000</v>
      </c>
      <c r="F22" s="80">
        <f t="shared" si="0"/>
        <v>121098323</v>
      </c>
      <c r="G22" s="78">
        <v>122967081</v>
      </c>
      <c r="H22" s="79">
        <v>2319460</v>
      </c>
      <c r="I22" s="81">
        <f t="shared" si="1"/>
        <v>125286541</v>
      </c>
      <c r="J22" s="78">
        <v>26658762</v>
      </c>
      <c r="K22" s="79">
        <v>32070</v>
      </c>
      <c r="L22" s="79">
        <f t="shared" si="2"/>
        <v>26690832</v>
      </c>
      <c r="M22" s="40">
        <f t="shared" si="3"/>
        <v>0.22040628919361666</v>
      </c>
      <c r="N22" s="106">
        <v>29042555</v>
      </c>
      <c r="O22" s="107">
        <v>279873</v>
      </c>
      <c r="P22" s="108">
        <f t="shared" si="4"/>
        <v>29322428</v>
      </c>
      <c r="Q22" s="40">
        <f t="shared" si="5"/>
        <v>0.24213735808711406</v>
      </c>
      <c r="R22" s="106">
        <v>28604724</v>
      </c>
      <c r="S22" s="108">
        <v>68023</v>
      </c>
      <c r="T22" s="108">
        <f t="shared" si="6"/>
        <v>28672747</v>
      </c>
      <c r="U22" s="40">
        <f t="shared" si="7"/>
        <v>0.22885735986597316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84306041</v>
      </c>
      <c r="AA22" s="79">
        <f t="shared" si="11"/>
        <v>379966</v>
      </c>
      <c r="AB22" s="79">
        <f t="shared" si="12"/>
        <v>84686007</v>
      </c>
      <c r="AC22" s="40">
        <f t="shared" si="13"/>
        <v>0.6759385830597717</v>
      </c>
      <c r="AD22" s="78">
        <v>28215182</v>
      </c>
      <c r="AE22" s="79">
        <v>221230</v>
      </c>
      <c r="AF22" s="79">
        <f t="shared" si="14"/>
        <v>28436412</v>
      </c>
      <c r="AG22" s="40">
        <f>IF(114907854=0,0,82545223/114907854)</f>
        <v>0.718360147949504</v>
      </c>
      <c r="AH22" s="40">
        <f t="shared" si="15"/>
        <v>0.008310999292034493</v>
      </c>
      <c r="AI22" s="12">
        <v>111943000</v>
      </c>
      <c r="AJ22" s="12">
        <v>114907854</v>
      </c>
      <c r="AK22" s="12">
        <v>82545223</v>
      </c>
      <c r="AL22" s="12"/>
    </row>
    <row r="23" spans="1:38" s="57" customFormat="1" ht="12.75">
      <c r="A23" s="62"/>
      <c r="B23" s="63" t="s">
        <v>211</v>
      </c>
      <c r="C23" s="32"/>
      <c r="D23" s="82">
        <f>SUM(D17:D22)</f>
        <v>3159282909</v>
      </c>
      <c r="E23" s="83">
        <f>SUM(E17:E22)</f>
        <v>298650203</v>
      </c>
      <c r="F23" s="91">
        <f t="shared" si="0"/>
        <v>3457933112</v>
      </c>
      <c r="G23" s="82">
        <f>SUM(G17:G22)</f>
        <v>3074892777</v>
      </c>
      <c r="H23" s="83">
        <f>SUM(H17:H22)</f>
        <v>334783811</v>
      </c>
      <c r="I23" s="84">
        <f t="shared" si="1"/>
        <v>3409676588</v>
      </c>
      <c r="J23" s="82">
        <f>SUM(J17:J22)</f>
        <v>493712884</v>
      </c>
      <c r="K23" s="83">
        <f>SUM(K17:K22)</f>
        <v>46083842</v>
      </c>
      <c r="L23" s="83">
        <f t="shared" si="2"/>
        <v>539796726</v>
      </c>
      <c r="M23" s="44">
        <f t="shared" si="3"/>
        <v>0.1561038656666763</v>
      </c>
      <c r="N23" s="112">
        <f>SUM(N17:N22)</f>
        <v>529501239</v>
      </c>
      <c r="O23" s="113">
        <f>SUM(O17:O22)</f>
        <v>31698096</v>
      </c>
      <c r="P23" s="114">
        <f t="shared" si="4"/>
        <v>561199335</v>
      </c>
      <c r="Q23" s="44">
        <f t="shared" si="5"/>
        <v>0.16229328816467864</v>
      </c>
      <c r="R23" s="112">
        <f>SUM(R17:R22)</f>
        <v>588683605</v>
      </c>
      <c r="S23" s="114">
        <f>SUM(S17:S22)</f>
        <v>63468297</v>
      </c>
      <c r="T23" s="114">
        <f t="shared" si="6"/>
        <v>652151902</v>
      </c>
      <c r="U23" s="44">
        <f t="shared" si="7"/>
        <v>0.19126503208403411</v>
      </c>
      <c r="V23" s="112">
        <f>SUM(V17:V22)</f>
        <v>0</v>
      </c>
      <c r="W23" s="114">
        <f>SUM(W17:W22)</f>
        <v>0</v>
      </c>
      <c r="X23" s="114">
        <f t="shared" si="8"/>
        <v>0</v>
      </c>
      <c r="Y23" s="44">
        <f t="shared" si="9"/>
        <v>0</v>
      </c>
      <c r="Z23" s="82">
        <f t="shared" si="10"/>
        <v>1611897728</v>
      </c>
      <c r="AA23" s="83">
        <f t="shared" si="11"/>
        <v>141250235</v>
      </c>
      <c r="AB23" s="83">
        <f t="shared" si="12"/>
        <v>1753147963</v>
      </c>
      <c r="AC23" s="44">
        <f t="shared" si="13"/>
        <v>0.5141684021206061</v>
      </c>
      <c r="AD23" s="82">
        <f>SUM(AD17:AD22)</f>
        <v>438203467</v>
      </c>
      <c r="AE23" s="83">
        <f>SUM(AE17:AE22)</f>
        <v>62265507</v>
      </c>
      <c r="AF23" s="83">
        <f t="shared" si="14"/>
        <v>500468974</v>
      </c>
      <c r="AG23" s="44">
        <f>IF(114907854=0,0,82545223/114907854)</f>
        <v>0.718360147949504</v>
      </c>
      <c r="AH23" s="44">
        <f t="shared" si="15"/>
        <v>0.303081581237042</v>
      </c>
      <c r="AI23" s="64">
        <f>SUM(AI17:AI22)</f>
        <v>3253147791</v>
      </c>
      <c r="AJ23" s="64">
        <f>SUM(AJ17:AJ22)</f>
        <v>3323486362</v>
      </c>
      <c r="AK23" s="64">
        <f>SUM(AK17:AK22)</f>
        <v>1606593072</v>
      </c>
      <c r="AL23" s="64"/>
    </row>
    <row r="24" spans="1:38" s="13" customFormat="1" ht="12.75">
      <c r="A24" s="29" t="s">
        <v>95</v>
      </c>
      <c r="B24" s="61" t="s">
        <v>212</v>
      </c>
      <c r="C24" s="39" t="s">
        <v>213</v>
      </c>
      <c r="D24" s="78">
        <v>405999423</v>
      </c>
      <c r="E24" s="79">
        <v>79623797</v>
      </c>
      <c r="F24" s="80">
        <f t="shared" si="0"/>
        <v>485623220</v>
      </c>
      <c r="G24" s="78">
        <v>405999381</v>
      </c>
      <c r="H24" s="79">
        <v>20001436</v>
      </c>
      <c r="I24" s="81">
        <f t="shared" si="1"/>
        <v>426000817</v>
      </c>
      <c r="J24" s="78">
        <v>73897981</v>
      </c>
      <c r="K24" s="79">
        <v>8055851</v>
      </c>
      <c r="L24" s="79">
        <f t="shared" si="2"/>
        <v>81953832</v>
      </c>
      <c r="M24" s="40">
        <f t="shared" si="3"/>
        <v>0.16876011818380512</v>
      </c>
      <c r="N24" s="106">
        <v>79157784</v>
      </c>
      <c r="O24" s="107">
        <v>15605423</v>
      </c>
      <c r="P24" s="108">
        <f t="shared" si="4"/>
        <v>94763207</v>
      </c>
      <c r="Q24" s="40">
        <f t="shared" si="5"/>
        <v>0.19513730624330525</v>
      </c>
      <c r="R24" s="106">
        <v>85416567</v>
      </c>
      <c r="S24" s="108">
        <v>37685934</v>
      </c>
      <c r="T24" s="108">
        <f t="shared" si="6"/>
        <v>123102501</v>
      </c>
      <c r="U24" s="40">
        <f t="shared" si="7"/>
        <v>0.288972452839216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238472332</v>
      </c>
      <c r="AA24" s="79">
        <f t="shared" si="11"/>
        <v>61347208</v>
      </c>
      <c r="AB24" s="79">
        <f t="shared" si="12"/>
        <v>299819540</v>
      </c>
      <c r="AC24" s="40">
        <f t="shared" si="13"/>
        <v>0.7038003873124027</v>
      </c>
      <c r="AD24" s="78">
        <v>75650070</v>
      </c>
      <c r="AE24" s="79">
        <v>8324188</v>
      </c>
      <c r="AF24" s="79">
        <f t="shared" si="14"/>
        <v>83974258</v>
      </c>
      <c r="AG24" s="40">
        <f>IF(446324629=0,0,241832002/446324629)</f>
        <v>0.5418298392849837</v>
      </c>
      <c r="AH24" s="40">
        <f t="shared" si="15"/>
        <v>0.46595520975011184</v>
      </c>
      <c r="AI24" s="12">
        <v>448976539</v>
      </c>
      <c r="AJ24" s="12">
        <v>446324629</v>
      </c>
      <c r="AK24" s="12">
        <v>241832002</v>
      </c>
      <c r="AL24" s="12"/>
    </row>
    <row r="25" spans="1:38" s="13" customFormat="1" ht="12.75">
      <c r="A25" s="29" t="s">
        <v>95</v>
      </c>
      <c r="B25" s="61" t="s">
        <v>214</v>
      </c>
      <c r="C25" s="39" t="s">
        <v>215</v>
      </c>
      <c r="D25" s="78">
        <v>644937087</v>
      </c>
      <c r="E25" s="79">
        <v>84008000</v>
      </c>
      <c r="F25" s="80">
        <f t="shared" si="0"/>
        <v>728945087</v>
      </c>
      <c r="G25" s="78">
        <v>674063675</v>
      </c>
      <c r="H25" s="79">
        <v>78808001</v>
      </c>
      <c r="I25" s="81">
        <f t="shared" si="1"/>
        <v>752871676</v>
      </c>
      <c r="J25" s="78">
        <v>122085212</v>
      </c>
      <c r="K25" s="79">
        <v>2465035</v>
      </c>
      <c r="L25" s="79">
        <f t="shared" si="2"/>
        <v>124550247</v>
      </c>
      <c r="M25" s="40">
        <f t="shared" si="3"/>
        <v>0.17086368948941144</v>
      </c>
      <c r="N25" s="106">
        <v>177047396</v>
      </c>
      <c r="O25" s="107">
        <v>13769742</v>
      </c>
      <c r="P25" s="108">
        <f t="shared" si="4"/>
        <v>190817138</v>
      </c>
      <c r="Q25" s="40">
        <f t="shared" si="5"/>
        <v>0.2617716223115171</v>
      </c>
      <c r="R25" s="106">
        <v>117833468</v>
      </c>
      <c r="S25" s="108">
        <v>22984101</v>
      </c>
      <c r="T25" s="108">
        <f t="shared" si="6"/>
        <v>140817569</v>
      </c>
      <c r="U25" s="40">
        <f t="shared" si="7"/>
        <v>0.18704059866903533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416966076</v>
      </c>
      <c r="AA25" s="79">
        <f t="shared" si="11"/>
        <v>39218878</v>
      </c>
      <c r="AB25" s="79">
        <f t="shared" si="12"/>
        <v>456184954</v>
      </c>
      <c r="AC25" s="40">
        <f t="shared" si="13"/>
        <v>0.6059265722728557</v>
      </c>
      <c r="AD25" s="78">
        <v>101416400</v>
      </c>
      <c r="AE25" s="79">
        <v>14150613</v>
      </c>
      <c r="AF25" s="79">
        <f t="shared" si="14"/>
        <v>115567013</v>
      </c>
      <c r="AG25" s="40">
        <f>IF(682599146=0,0,359287728/682599146)</f>
        <v>0.5263524428728189</v>
      </c>
      <c r="AH25" s="40">
        <f t="shared" si="15"/>
        <v>0.2184927631555209</v>
      </c>
      <c r="AI25" s="12">
        <v>682599146</v>
      </c>
      <c r="AJ25" s="12">
        <v>682599146</v>
      </c>
      <c r="AK25" s="12">
        <v>359287728</v>
      </c>
      <c r="AL25" s="12"/>
    </row>
    <row r="26" spans="1:38" s="13" customFormat="1" ht="12.75">
      <c r="A26" s="29" t="s">
        <v>95</v>
      </c>
      <c r="B26" s="61" t="s">
        <v>216</v>
      </c>
      <c r="C26" s="39" t="s">
        <v>217</v>
      </c>
      <c r="D26" s="78">
        <v>313772635</v>
      </c>
      <c r="E26" s="79">
        <v>67597000</v>
      </c>
      <c r="F26" s="80">
        <f t="shared" si="0"/>
        <v>381369635</v>
      </c>
      <c r="G26" s="78">
        <v>304314854</v>
      </c>
      <c r="H26" s="79">
        <v>67597000</v>
      </c>
      <c r="I26" s="81">
        <f t="shared" si="1"/>
        <v>371911854</v>
      </c>
      <c r="J26" s="78">
        <v>123428693</v>
      </c>
      <c r="K26" s="79">
        <v>6819640</v>
      </c>
      <c r="L26" s="79">
        <f t="shared" si="2"/>
        <v>130248333</v>
      </c>
      <c r="M26" s="40">
        <f t="shared" si="3"/>
        <v>0.3415278014989316</v>
      </c>
      <c r="N26" s="106">
        <v>78199433</v>
      </c>
      <c r="O26" s="107">
        <v>7983745</v>
      </c>
      <c r="P26" s="108">
        <f t="shared" si="4"/>
        <v>86183178</v>
      </c>
      <c r="Q26" s="40">
        <f t="shared" si="5"/>
        <v>0.22598332455073408</v>
      </c>
      <c r="R26" s="106">
        <v>51851183</v>
      </c>
      <c r="S26" s="108">
        <v>4592164</v>
      </c>
      <c r="T26" s="108">
        <f t="shared" si="6"/>
        <v>56443347</v>
      </c>
      <c r="U26" s="40">
        <f t="shared" si="7"/>
        <v>0.15176538847293639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253479309</v>
      </c>
      <c r="AA26" s="79">
        <f t="shared" si="11"/>
        <v>19395549</v>
      </c>
      <c r="AB26" s="79">
        <f t="shared" si="12"/>
        <v>272874858</v>
      </c>
      <c r="AC26" s="40">
        <f t="shared" si="13"/>
        <v>0.7337084179091533</v>
      </c>
      <c r="AD26" s="78">
        <v>109680949</v>
      </c>
      <c r="AE26" s="79">
        <v>6168156</v>
      </c>
      <c r="AF26" s="79">
        <f t="shared" si="14"/>
        <v>115849105</v>
      </c>
      <c r="AG26" s="40">
        <f>IF(379074598=0,0,256870460/379074598)</f>
        <v>0.677625093728913</v>
      </c>
      <c r="AH26" s="40">
        <f t="shared" si="15"/>
        <v>-0.5127856447401988</v>
      </c>
      <c r="AI26" s="12">
        <v>341856143</v>
      </c>
      <c r="AJ26" s="12">
        <v>379074598</v>
      </c>
      <c r="AK26" s="12">
        <v>256870460</v>
      </c>
      <c r="AL26" s="12"/>
    </row>
    <row r="27" spans="1:38" s="13" customFormat="1" ht="12.75">
      <c r="A27" s="29" t="s">
        <v>95</v>
      </c>
      <c r="B27" s="61" t="s">
        <v>218</v>
      </c>
      <c r="C27" s="39" t="s">
        <v>219</v>
      </c>
      <c r="D27" s="78">
        <v>1953318640</v>
      </c>
      <c r="E27" s="79">
        <v>450665000</v>
      </c>
      <c r="F27" s="80">
        <f t="shared" si="0"/>
        <v>2403983640</v>
      </c>
      <c r="G27" s="78">
        <v>1697794261</v>
      </c>
      <c r="H27" s="79">
        <v>260790692</v>
      </c>
      <c r="I27" s="81">
        <f t="shared" si="1"/>
        <v>1958584953</v>
      </c>
      <c r="J27" s="78">
        <v>333748121</v>
      </c>
      <c r="K27" s="79">
        <v>35744192</v>
      </c>
      <c r="L27" s="79">
        <f t="shared" si="2"/>
        <v>369492313</v>
      </c>
      <c r="M27" s="40">
        <f t="shared" si="3"/>
        <v>0.15370001145265696</v>
      </c>
      <c r="N27" s="106">
        <v>283338874</v>
      </c>
      <c r="O27" s="107">
        <v>63090466</v>
      </c>
      <c r="P27" s="108">
        <f t="shared" si="4"/>
        <v>346429340</v>
      </c>
      <c r="Q27" s="40">
        <f t="shared" si="5"/>
        <v>0.14410636338606697</v>
      </c>
      <c r="R27" s="106">
        <v>357330280</v>
      </c>
      <c r="S27" s="108">
        <v>41196476</v>
      </c>
      <c r="T27" s="108">
        <f t="shared" si="6"/>
        <v>398526756</v>
      </c>
      <c r="U27" s="40">
        <f t="shared" si="7"/>
        <v>0.203476880280107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974417275</v>
      </c>
      <c r="AA27" s="79">
        <f t="shared" si="11"/>
        <v>140031134</v>
      </c>
      <c r="AB27" s="79">
        <f t="shared" si="12"/>
        <v>1114448409</v>
      </c>
      <c r="AC27" s="40">
        <f t="shared" si="13"/>
        <v>0.5690069288508416</v>
      </c>
      <c r="AD27" s="78">
        <v>190950026</v>
      </c>
      <c r="AE27" s="79">
        <v>83236898</v>
      </c>
      <c r="AF27" s="79">
        <f t="shared" si="14"/>
        <v>274186924</v>
      </c>
      <c r="AG27" s="40">
        <f>IF(1766547352=0,0,787197138/1766547352)</f>
        <v>0.4456133808747177</v>
      </c>
      <c r="AH27" s="40">
        <f t="shared" si="15"/>
        <v>0.4534856374113596</v>
      </c>
      <c r="AI27" s="12">
        <v>1704138712</v>
      </c>
      <c r="AJ27" s="12">
        <v>1766547352</v>
      </c>
      <c r="AK27" s="12">
        <v>787197138</v>
      </c>
      <c r="AL27" s="12"/>
    </row>
    <row r="28" spans="1:38" s="13" customFormat="1" ht="12.75">
      <c r="A28" s="29" t="s">
        <v>95</v>
      </c>
      <c r="B28" s="61" t="s">
        <v>220</v>
      </c>
      <c r="C28" s="39" t="s">
        <v>221</v>
      </c>
      <c r="D28" s="78">
        <v>147333463</v>
      </c>
      <c r="E28" s="79">
        <v>48292000</v>
      </c>
      <c r="F28" s="80">
        <f t="shared" si="0"/>
        <v>195625463</v>
      </c>
      <c r="G28" s="78">
        <v>130531785</v>
      </c>
      <c r="H28" s="79">
        <v>33719796</v>
      </c>
      <c r="I28" s="81">
        <f t="shared" si="1"/>
        <v>164251581</v>
      </c>
      <c r="J28" s="78">
        <v>24299688</v>
      </c>
      <c r="K28" s="79">
        <v>3755896</v>
      </c>
      <c r="L28" s="79">
        <f t="shared" si="2"/>
        <v>28055584</v>
      </c>
      <c r="M28" s="40">
        <f t="shared" si="3"/>
        <v>0.1434147864483265</v>
      </c>
      <c r="N28" s="106">
        <v>35029339</v>
      </c>
      <c r="O28" s="107">
        <v>10335080</v>
      </c>
      <c r="P28" s="108">
        <f t="shared" si="4"/>
        <v>45364419</v>
      </c>
      <c r="Q28" s="40">
        <f t="shared" si="5"/>
        <v>0.2318942447691485</v>
      </c>
      <c r="R28" s="106">
        <v>26629257</v>
      </c>
      <c r="S28" s="108">
        <v>9015417</v>
      </c>
      <c r="T28" s="108">
        <f t="shared" si="6"/>
        <v>35644674</v>
      </c>
      <c r="U28" s="40">
        <f t="shared" si="7"/>
        <v>0.21701266912006162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85958284</v>
      </c>
      <c r="AA28" s="79">
        <f t="shared" si="11"/>
        <v>23106393</v>
      </c>
      <c r="AB28" s="79">
        <f t="shared" si="12"/>
        <v>109064677</v>
      </c>
      <c r="AC28" s="40">
        <f t="shared" si="13"/>
        <v>0.6640099068513684</v>
      </c>
      <c r="AD28" s="78">
        <v>29195721</v>
      </c>
      <c r="AE28" s="79">
        <v>3751185</v>
      </c>
      <c r="AF28" s="79">
        <f t="shared" si="14"/>
        <v>32946906</v>
      </c>
      <c r="AG28" s="40">
        <f>IF(160116508=0,0,105902245/160116508)</f>
        <v>0.6614074109085617</v>
      </c>
      <c r="AH28" s="40">
        <f t="shared" si="15"/>
        <v>0.08188228660985652</v>
      </c>
      <c r="AI28" s="12">
        <v>177867155</v>
      </c>
      <c r="AJ28" s="12">
        <v>160116508</v>
      </c>
      <c r="AK28" s="12">
        <v>105902245</v>
      </c>
      <c r="AL28" s="12"/>
    </row>
    <row r="29" spans="1:38" s="13" customFormat="1" ht="12.75">
      <c r="A29" s="29" t="s">
        <v>95</v>
      </c>
      <c r="B29" s="61" t="s">
        <v>222</v>
      </c>
      <c r="C29" s="39" t="s">
        <v>223</v>
      </c>
      <c r="D29" s="78">
        <v>229745431</v>
      </c>
      <c r="E29" s="79">
        <v>46579350</v>
      </c>
      <c r="F29" s="80">
        <f t="shared" si="0"/>
        <v>276324781</v>
      </c>
      <c r="G29" s="78">
        <v>229745431</v>
      </c>
      <c r="H29" s="79">
        <v>46579350</v>
      </c>
      <c r="I29" s="81">
        <f t="shared" si="1"/>
        <v>276324781</v>
      </c>
      <c r="J29" s="78">
        <v>34851520</v>
      </c>
      <c r="K29" s="79">
        <v>4342778</v>
      </c>
      <c r="L29" s="79">
        <f t="shared" si="2"/>
        <v>39194298</v>
      </c>
      <c r="M29" s="40">
        <f t="shared" si="3"/>
        <v>0.14184141522942165</v>
      </c>
      <c r="N29" s="106">
        <v>28474633</v>
      </c>
      <c r="O29" s="107">
        <v>5509525</v>
      </c>
      <c r="P29" s="108">
        <f t="shared" si="4"/>
        <v>33984158</v>
      </c>
      <c r="Q29" s="40">
        <f t="shared" si="5"/>
        <v>0.122986284027852</v>
      </c>
      <c r="R29" s="106">
        <v>38915594</v>
      </c>
      <c r="S29" s="108">
        <v>11013618</v>
      </c>
      <c r="T29" s="108">
        <f t="shared" si="6"/>
        <v>49929212</v>
      </c>
      <c r="U29" s="40">
        <f t="shared" si="7"/>
        <v>0.18069031600897206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102241747</v>
      </c>
      <c r="AA29" s="79">
        <f t="shared" si="11"/>
        <v>20865921</v>
      </c>
      <c r="AB29" s="79">
        <f t="shared" si="12"/>
        <v>123107668</v>
      </c>
      <c r="AC29" s="40">
        <f t="shared" si="13"/>
        <v>0.4455180152662457</v>
      </c>
      <c r="AD29" s="78">
        <v>34542560</v>
      </c>
      <c r="AE29" s="79">
        <v>5452425</v>
      </c>
      <c r="AF29" s="79">
        <f t="shared" si="14"/>
        <v>39994985</v>
      </c>
      <c r="AG29" s="40">
        <f>IF(245715982=0,0,128875935/245715982)</f>
        <v>0.5244914634816061</v>
      </c>
      <c r="AH29" s="40">
        <f t="shared" si="15"/>
        <v>0.24838681649711836</v>
      </c>
      <c r="AI29" s="12">
        <v>250053944</v>
      </c>
      <c r="AJ29" s="12">
        <v>245715982</v>
      </c>
      <c r="AK29" s="12">
        <v>128875935</v>
      </c>
      <c r="AL29" s="12"/>
    </row>
    <row r="30" spans="1:38" s="13" customFormat="1" ht="12.75">
      <c r="A30" s="29" t="s">
        <v>114</v>
      </c>
      <c r="B30" s="61" t="s">
        <v>224</v>
      </c>
      <c r="C30" s="39" t="s">
        <v>225</v>
      </c>
      <c r="D30" s="78">
        <v>108844481</v>
      </c>
      <c r="E30" s="79">
        <v>2200000</v>
      </c>
      <c r="F30" s="81">
        <f t="shared" si="0"/>
        <v>111044481</v>
      </c>
      <c r="G30" s="78">
        <v>114565351</v>
      </c>
      <c r="H30" s="79">
        <v>1562000</v>
      </c>
      <c r="I30" s="81">
        <f t="shared" si="1"/>
        <v>116127351</v>
      </c>
      <c r="J30" s="78">
        <v>30104179</v>
      </c>
      <c r="K30" s="79">
        <v>28274</v>
      </c>
      <c r="L30" s="79">
        <f t="shared" si="2"/>
        <v>30132453</v>
      </c>
      <c r="M30" s="40">
        <f t="shared" si="3"/>
        <v>0.2713548006046334</v>
      </c>
      <c r="N30" s="106">
        <v>28988191</v>
      </c>
      <c r="O30" s="107">
        <v>1209814</v>
      </c>
      <c r="P30" s="108">
        <f t="shared" si="4"/>
        <v>30198005</v>
      </c>
      <c r="Q30" s="40">
        <f t="shared" si="5"/>
        <v>0.2719451226036168</v>
      </c>
      <c r="R30" s="106">
        <v>25495174</v>
      </c>
      <c r="S30" s="108">
        <v>0</v>
      </c>
      <c r="T30" s="108">
        <f t="shared" si="6"/>
        <v>25495174</v>
      </c>
      <c r="U30" s="40">
        <f t="shared" si="7"/>
        <v>0.21954495457319095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84587544</v>
      </c>
      <c r="AA30" s="79">
        <f t="shared" si="11"/>
        <v>1238088</v>
      </c>
      <c r="AB30" s="79">
        <f t="shared" si="12"/>
        <v>85825632</v>
      </c>
      <c r="AC30" s="40">
        <f t="shared" si="13"/>
        <v>0.739064753143297</v>
      </c>
      <c r="AD30" s="78">
        <v>27594282</v>
      </c>
      <c r="AE30" s="79">
        <v>536683</v>
      </c>
      <c r="AF30" s="79">
        <f t="shared" si="14"/>
        <v>28130965</v>
      </c>
      <c r="AG30" s="40">
        <f>IF(134936291=0,0,80658733/134936291)</f>
        <v>0.5977541875669311</v>
      </c>
      <c r="AH30" s="40">
        <f t="shared" si="15"/>
        <v>-0.09369714121076189</v>
      </c>
      <c r="AI30" s="12">
        <v>95026066</v>
      </c>
      <c r="AJ30" s="12">
        <v>134936291</v>
      </c>
      <c r="AK30" s="12">
        <v>80658733</v>
      </c>
      <c r="AL30" s="12"/>
    </row>
    <row r="31" spans="1:38" s="57" customFormat="1" ht="12.75">
      <c r="A31" s="62"/>
      <c r="B31" s="63" t="s">
        <v>226</v>
      </c>
      <c r="C31" s="32"/>
      <c r="D31" s="82">
        <f>SUM(D24:D30)</f>
        <v>3803951160</v>
      </c>
      <c r="E31" s="83">
        <f>SUM(E24:E30)</f>
        <v>778965147</v>
      </c>
      <c r="F31" s="91">
        <f t="shared" si="0"/>
        <v>4582916307</v>
      </c>
      <c r="G31" s="82">
        <f>SUM(G24:G30)</f>
        <v>3557014738</v>
      </c>
      <c r="H31" s="83">
        <f>SUM(H24:H30)</f>
        <v>509058275</v>
      </c>
      <c r="I31" s="84">
        <f t="shared" si="1"/>
        <v>4066073013</v>
      </c>
      <c r="J31" s="82">
        <f>SUM(J24:J30)</f>
        <v>742415394</v>
      </c>
      <c r="K31" s="83">
        <f>SUM(K24:K30)</f>
        <v>61211666</v>
      </c>
      <c r="L31" s="83">
        <f t="shared" si="2"/>
        <v>803627060</v>
      </c>
      <c r="M31" s="44">
        <f t="shared" si="3"/>
        <v>0.1753527680120474</v>
      </c>
      <c r="N31" s="112">
        <f>SUM(N24:N30)</f>
        <v>710235650</v>
      </c>
      <c r="O31" s="113">
        <f>SUM(O24:O30)</f>
        <v>117503795</v>
      </c>
      <c r="P31" s="114">
        <f t="shared" si="4"/>
        <v>827739445</v>
      </c>
      <c r="Q31" s="44">
        <f t="shared" si="5"/>
        <v>0.18061413073062257</v>
      </c>
      <c r="R31" s="112">
        <f>SUM(R24:R30)</f>
        <v>703471523</v>
      </c>
      <c r="S31" s="114">
        <f>SUM(S24:S30)</f>
        <v>126487710</v>
      </c>
      <c r="T31" s="114">
        <f t="shared" si="6"/>
        <v>829959233</v>
      </c>
      <c r="U31" s="44">
        <f t="shared" si="7"/>
        <v>0.20411813323235078</v>
      </c>
      <c r="V31" s="112">
        <f>SUM(V24:V30)</f>
        <v>0</v>
      </c>
      <c r="W31" s="114">
        <f>SUM(W24:W30)</f>
        <v>0</v>
      </c>
      <c r="X31" s="114">
        <f t="shared" si="8"/>
        <v>0</v>
      </c>
      <c r="Y31" s="44">
        <f t="shared" si="9"/>
        <v>0</v>
      </c>
      <c r="Z31" s="82">
        <f t="shared" si="10"/>
        <v>2156122567</v>
      </c>
      <c r="AA31" s="83">
        <f t="shared" si="11"/>
        <v>305203171</v>
      </c>
      <c r="AB31" s="83">
        <f t="shared" si="12"/>
        <v>2461325738</v>
      </c>
      <c r="AC31" s="44">
        <f t="shared" si="13"/>
        <v>0.6053324006063538</v>
      </c>
      <c r="AD31" s="82">
        <f>SUM(AD24:AD30)</f>
        <v>569030008</v>
      </c>
      <c r="AE31" s="83">
        <f>SUM(AE24:AE30)</f>
        <v>121620148</v>
      </c>
      <c r="AF31" s="83">
        <f t="shared" si="14"/>
        <v>690650156</v>
      </c>
      <c r="AG31" s="44">
        <f>IF(134936291=0,0,80658733/134936291)</f>
        <v>0.5977541875669311</v>
      </c>
      <c r="AH31" s="44">
        <f t="shared" si="15"/>
        <v>0.20170715345498302</v>
      </c>
      <c r="AI31" s="64">
        <f>SUM(AI24:AI30)</f>
        <v>3700517705</v>
      </c>
      <c r="AJ31" s="64">
        <f>SUM(AJ24:AJ30)</f>
        <v>3815314506</v>
      </c>
      <c r="AK31" s="64">
        <f>SUM(AK24:AK30)</f>
        <v>1960624241</v>
      </c>
      <c r="AL31" s="64"/>
    </row>
    <row r="32" spans="1:38" s="13" customFormat="1" ht="12.75">
      <c r="A32" s="29" t="s">
        <v>95</v>
      </c>
      <c r="B32" s="61" t="s">
        <v>227</v>
      </c>
      <c r="C32" s="39" t="s">
        <v>228</v>
      </c>
      <c r="D32" s="78">
        <v>665510312</v>
      </c>
      <c r="E32" s="79">
        <v>106497000</v>
      </c>
      <c r="F32" s="80">
        <f t="shared" si="0"/>
        <v>772007312</v>
      </c>
      <c r="G32" s="78">
        <v>667123881</v>
      </c>
      <c r="H32" s="79">
        <v>130305772</v>
      </c>
      <c r="I32" s="81">
        <f t="shared" si="1"/>
        <v>797429653</v>
      </c>
      <c r="J32" s="78">
        <v>132848792</v>
      </c>
      <c r="K32" s="79">
        <v>17751958</v>
      </c>
      <c r="L32" s="79">
        <f t="shared" si="2"/>
        <v>150600750</v>
      </c>
      <c r="M32" s="40">
        <f t="shared" si="3"/>
        <v>0.19507684403901088</v>
      </c>
      <c r="N32" s="106">
        <v>148069949</v>
      </c>
      <c r="O32" s="107">
        <v>52802717</v>
      </c>
      <c r="P32" s="108">
        <f t="shared" si="4"/>
        <v>200872666</v>
      </c>
      <c r="Q32" s="40">
        <f t="shared" si="5"/>
        <v>0.2601952894456523</v>
      </c>
      <c r="R32" s="106">
        <v>132416353</v>
      </c>
      <c r="S32" s="108">
        <v>44110486</v>
      </c>
      <c r="T32" s="108">
        <f t="shared" si="6"/>
        <v>176526839</v>
      </c>
      <c r="U32" s="40">
        <f t="shared" si="7"/>
        <v>0.22136979523634545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413335094</v>
      </c>
      <c r="AA32" s="79">
        <f t="shared" si="11"/>
        <v>114665161</v>
      </c>
      <c r="AB32" s="79">
        <f t="shared" si="12"/>
        <v>528000255</v>
      </c>
      <c r="AC32" s="40">
        <f t="shared" si="13"/>
        <v>0.6621276911557238</v>
      </c>
      <c r="AD32" s="78">
        <v>119967387</v>
      </c>
      <c r="AE32" s="79">
        <v>0</v>
      </c>
      <c r="AF32" s="79">
        <f t="shared" si="14"/>
        <v>119967387</v>
      </c>
      <c r="AG32" s="40">
        <f>IF(727264455=0,0,359622550/727264455)</f>
        <v>0.4944866307263704</v>
      </c>
      <c r="AH32" s="40">
        <f t="shared" si="15"/>
        <v>0.47145689686481207</v>
      </c>
      <c r="AI32" s="12">
        <v>654516649</v>
      </c>
      <c r="AJ32" s="12">
        <v>727264455</v>
      </c>
      <c r="AK32" s="12">
        <v>359622550</v>
      </c>
      <c r="AL32" s="12"/>
    </row>
    <row r="33" spans="1:38" s="13" customFormat="1" ht="12.75">
      <c r="A33" s="29" t="s">
        <v>95</v>
      </c>
      <c r="B33" s="61" t="s">
        <v>229</v>
      </c>
      <c r="C33" s="39" t="s">
        <v>230</v>
      </c>
      <c r="D33" s="78">
        <v>668031326</v>
      </c>
      <c r="E33" s="79">
        <v>43636939</v>
      </c>
      <c r="F33" s="80">
        <f t="shared" si="0"/>
        <v>711668265</v>
      </c>
      <c r="G33" s="78">
        <v>668031326</v>
      </c>
      <c r="H33" s="79">
        <v>43636939</v>
      </c>
      <c r="I33" s="81">
        <f t="shared" si="1"/>
        <v>711668265</v>
      </c>
      <c r="J33" s="78">
        <v>75384159</v>
      </c>
      <c r="K33" s="79">
        <v>12826555</v>
      </c>
      <c r="L33" s="79">
        <f t="shared" si="2"/>
        <v>88210714</v>
      </c>
      <c r="M33" s="40">
        <f t="shared" si="3"/>
        <v>0.12394920265272753</v>
      </c>
      <c r="N33" s="106">
        <v>122805084</v>
      </c>
      <c r="O33" s="107">
        <v>13339305</v>
      </c>
      <c r="P33" s="108">
        <f t="shared" si="4"/>
        <v>136144389</v>
      </c>
      <c r="Q33" s="40">
        <f t="shared" si="5"/>
        <v>0.19130316145261866</v>
      </c>
      <c r="R33" s="106">
        <v>102827944</v>
      </c>
      <c r="S33" s="108">
        <v>10197989</v>
      </c>
      <c r="T33" s="108">
        <f t="shared" si="6"/>
        <v>113025933</v>
      </c>
      <c r="U33" s="40">
        <f t="shared" si="7"/>
        <v>0.158818284527553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301017187</v>
      </c>
      <c r="AA33" s="79">
        <f t="shared" si="11"/>
        <v>36363849</v>
      </c>
      <c r="AB33" s="79">
        <f t="shared" si="12"/>
        <v>337381036</v>
      </c>
      <c r="AC33" s="40">
        <f t="shared" si="13"/>
        <v>0.4740706486328992</v>
      </c>
      <c r="AD33" s="78">
        <v>81428050</v>
      </c>
      <c r="AE33" s="79">
        <v>19831209</v>
      </c>
      <c r="AF33" s="79">
        <f t="shared" si="14"/>
        <v>101259259</v>
      </c>
      <c r="AG33" s="40">
        <f>IF(655133136=0,0,316709290/655133136)</f>
        <v>0.4834273716235901</v>
      </c>
      <c r="AH33" s="40">
        <f t="shared" si="15"/>
        <v>0.11620343775180109</v>
      </c>
      <c r="AI33" s="12">
        <v>654152199</v>
      </c>
      <c r="AJ33" s="12">
        <v>655133136</v>
      </c>
      <c r="AK33" s="12">
        <v>316709290</v>
      </c>
      <c r="AL33" s="12"/>
    </row>
    <row r="34" spans="1:38" s="13" customFormat="1" ht="12.75">
      <c r="A34" s="29" t="s">
        <v>95</v>
      </c>
      <c r="B34" s="61" t="s">
        <v>231</v>
      </c>
      <c r="C34" s="39" t="s">
        <v>232</v>
      </c>
      <c r="D34" s="78">
        <v>931972130</v>
      </c>
      <c r="E34" s="79">
        <v>185851620</v>
      </c>
      <c r="F34" s="80">
        <f t="shared" si="0"/>
        <v>1117823750</v>
      </c>
      <c r="G34" s="78">
        <v>946733690</v>
      </c>
      <c r="H34" s="79">
        <v>151717820</v>
      </c>
      <c r="I34" s="81">
        <f t="shared" si="1"/>
        <v>1098451510</v>
      </c>
      <c r="J34" s="78">
        <v>171415583</v>
      </c>
      <c r="K34" s="79">
        <v>12118526</v>
      </c>
      <c r="L34" s="79">
        <f t="shared" si="2"/>
        <v>183534109</v>
      </c>
      <c r="M34" s="40">
        <f t="shared" si="3"/>
        <v>0.16418877215661234</v>
      </c>
      <c r="N34" s="106">
        <v>241627645</v>
      </c>
      <c r="O34" s="107">
        <v>28913574</v>
      </c>
      <c r="P34" s="108">
        <f t="shared" si="4"/>
        <v>270541219</v>
      </c>
      <c r="Q34" s="40">
        <f t="shared" si="5"/>
        <v>0.24202493371607106</v>
      </c>
      <c r="R34" s="106">
        <v>199376157</v>
      </c>
      <c r="S34" s="108">
        <v>10609526</v>
      </c>
      <c r="T34" s="108">
        <f t="shared" si="6"/>
        <v>209985683</v>
      </c>
      <c r="U34" s="40">
        <f t="shared" si="7"/>
        <v>0.19116518215719872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612419385</v>
      </c>
      <c r="AA34" s="79">
        <f t="shared" si="11"/>
        <v>51641626</v>
      </c>
      <c r="AB34" s="79">
        <f t="shared" si="12"/>
        <v>664061011</v>
      </c>
      <c r="AC34" s="40">
        <f t="shared" si="13"/>
        <v>0.6045428541492924</v>
      </c>
      <c r="AD34" s="78">
        <v>265377989</v>
      </c>
      <c r="AE34" s="79">
        <v>14109391</v>
      </c>
      <c r="AF34" s="79">
        <f t="shared" si="14"/>
        <v>279487380</v>
      </c>
      <c r="AG34" s="40">
        <f>IF(957378400=0,0,584247457/957378400)</f>
        <v>0.6102576128728202</v>
      </c>
      <c r="AH34" s="40">
        <f t="shared" si="15"/>
        <v>-0.24867561819785922</v>
      </c>
      <c r="AI34" s="12">
        <v>1005367620</v>
      </c>
      <c r="AJ34" s="12">
        <v>957378400</v>
      </c>
      <c r="AK34" s="12">
        <v>584247457</v>
      </c>
      <c r="AL34" s="12"/>
    </row>
    <row r="35" spans="1:38" s="13" customFormat="1" ht="12.75">
      <c r="A35" s="29" t="s">
        <v>95</v>
      </c>
      <c r="B35" s="61" t="s">
        <v>233</v>
      </c>
      <c r="C35" s="39" t="s">
        <v>234</v>
      </c>
      <c r="D35" s="78">
        <v>170558077</v>
      </c>
      <c r="E35" s="79">
        <v>42103380</v>
      </c>
      <c r="F35" s="80">
        <f t="shared" si="0"/>
        <v>212661457</v>
      </c>
      <c r="G35" s="78">
        <v>170558077</v>
      </c>
      <c r="H35" s="79">
        <v>42103380</v>
      </c>
      <c r="I35" s="81">
        <f t="shared" si="1"/>
        <v>212661457</v>
      </c>
      <c r="J35" s="78">
        <v>41232430</v>
      </c>
      <c r="K35" s="79">
        <v>10518594</v>
      </c>
      <c r="L35" s="79">
        <f t="shared" si="2"/>
        <v>51751024</v>
      </c>
      <c r="M35" s="40">
        <f t="shared" si="3"/>
        <v>0.24334933433659303</v>
      </c>
      <c r="N35" s="106">
        <v>31562551</v>
      </c>
      <c r="O35" s="107">
        <v>3566393</v>
      </c>
      <c r="P35" s="108">
        <f t="shared" si="4"/>
        <v>35128944</v>
      </c>
      <c r="Q35" s="40">
        <f t="shared" si="5"/>
        <v>0.1651871688248614</v>
      </c>
      <c r="R35" s="106">
        <v>51652752</v>
      </c>
      <c r="S35" s="108">
        <v>457538</v>
      </c>
      <c r="T35" s="108">
        <f t="shared" si="6"/>
        <v>52110290</v>
      </c>
      <c r="U35" s="40">
        <f t="shared" si="7"/>
        <v>0.24503871427909948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124447733</v>
      </c>
      <c r="AA35" s="79">
        <f t="shared" si="11"/>
        <v>14542525</v>
      </c>
      <c r="AB35" s="79">
        <f t="shared" si="12"/>
        <v>138990258</v>
      </c>
      <c r="AC35" s="40">
        <f t="shared" si="13"/>
        <v>0.6535752174405539</v>
      </c>
      <c r="AD35" s="78">
        <v>50154453</v>
      </c>
      <c r="AE35" s="79">
        <v>3002429</v>
      </c>
      <c r="AF35" s="79">
        <f t="shared" si="14"/>
        <v>53156882</v>
      </c>
      <c r="AG35" s="40">
        <f>IF(207905066=0,0,159500352/207905066)</f>
        <v>0.7671787661008703</v>
      </c>
      <c r="AH35" s="40">
        <f t="shared" si="15"/>
        <v>-0.019688739456163007</v>
      </c>
      <c r="AI35" s="12">
        <v>205748482</v>
      </c>
      <c r="AJ35" s="12">
        <v>207905066</v>
      </c>
      <c r="AK35" s="12">
        <v>159500352</v>
      </c>
      <c r="AL35" s="12"/>
    </row>
    <row r="36" spans="1:38" s="13" customFormat="1" ht="12.75">
      <c r="A36" s="29" t="s">
        <v>114</v>
      </c>
      <c r="B36" s="61" t="s">
        <v>235</v>
      </c>
      <c r="C36" s="39" t="s">
        <v>236</v>
      </c>
      <c r="D36" s="78">
        <v>166783508</v>
      </c>
      <c r="E36" s="79">
        <v>700000</v>
      </c>
      <c r="F36" s="80">
        <f t="shared" si="0"/>
        <v>167483508</v>
      </c>
      <c r="G36" s="78">
        <v>166783508</v>
      </c>
      <c r="H36" s="79">
        <v>700000</v>
      </c>
      <c r="I36" s="81">
        <f t="shared" si="1"/>
        <v>167483508</v>
      </c>
      <c r="J36" s="78">
        <v>36642999</v>
      </c>
      <c r="K36" s="79">
        <v>291044</v>
      </c>
      <c r="L36" s="79">
        <f t="shared" si="2"/>
        <v>36934043</v>
      </c>
      <c r="M36" s="40">
        <f t="shared" si="3"/>
        <v>0.22052346192796488</v>
      </c>
      <c r="N36" s="106">
        <v>47774209</v>
      </c>
      <c r="O36" s="107">
        <v>880557</v>
      </c>
      <c r="P36" s="108">
        <f t="shared" si="4"/>
        <v>48654766</v>
      </c>
      <c r="Q36" s="40">
        <f t="shared" si="5"/>
        <v>0.29050481794302996</v>
      </c>
      <c r="R36" s="106">
        <v>22652751</v>
      </c>
      <c r="S36" s="108">
        <v>2494284</v>
      </c>
      <c r="T36" s="108">
        <f t="shared" si="6"/>
        <v>25147035</v>
      </c>
      <c r="U36" s="40">
        <f t="shared" si="7"/>
        <v>0.15014633560218957</v>
      </c>
      <c r="V36" s="106">
        <v>0</v>
      </c>
      <c r="W36" s="108">
        <v>0</v>
      </c>
      <c r="X36" s="108">
        <f t="shared" si="8"/>
        <v>0</v>
      </c>
      <c r="Y36" s="40">
        <f t="shared" si="9"/>
        <v>0</v>
      </c>
      <c r="Z36" s="78">
        <f t="shared" si="10"/>
        <v>107069959</v>
      </c>
      <c r="AA36" s="79">
        <f t="shared" si="11"/>
        <v>3665885</v>
      </c>
      <c r="AB36" s="79">
        <f t="shared" si="12"/>
        <v>110735844</v>
      </c>
      <c r="AC36" s="40">
        <f t="shared" si="13"/>
        <v>0.6611746154731843</v>
      </c>
      <c r="AD36" s="78">
        <v>43962660</v>
      </c>
      <c r="AE36" s="79">
        <v>178284</v>
      </c>
      <c r="AF36" s="79">
        <f t="shared" si="14"/>
        <v>44140944</v>
      </c>
      <c r="AG36" s="40">
        <f>IF(238191603=0,0,129581969/238191603)</f>
        <v>0.5440240855174059</v>
      </c>
      <c r="AH36" s="40">
        <f t="shared" si="15"/>
        <v>-0.43030137733347973</v>
      </c>
      <c r="AI36" s="12">
        <v>213147401</v>
      </c>
      <c r="AJ36" s="12">
        <v>238191603</v>
      </c>
      <c r="AK36" s="12">
        <v>129581969</v>
      </c>
      <c r="AL36" s="12"/>
    </row>
    <row r="37" spans="1:38" s="57" customFormat="1" ht="12.75">
      <c r="A37" s="62"/>
      <c r="B37" s="63" t="s">
        <v>237</v>
      </c>
      <c r="C37" s="32"/>
      <c r="D37" s="82">
        <f>SUM(D32:D36)</f>
        <v>2602855353</v>
      </c>
      <c r="E37" s="83">
        <f>SUM(E32:E36)</f>
        <v>378788939</v>
      </c>
      <c r="F37" s="84">
        <f t="shared" si="0"/>
        <v>2981644292</v>
      </c>
      <c r="G37" s="82">
        <f>SUM(G32:G36)</f>
        <v>2619230482</v>
      </c>
      <c r="H37" s="83">
        <f>SUM(H32:H36)</f>
        <v>368463911</v>
      </c>
      <c r="I37" s="91">
        <f t="shared" si="1"/>
        <v>2987694393</v>
      </c>
      <c r="J37" s="82">
        <f>SUM(J32:J36)</f>
        <v>457523963</v>
      </c>
      <c r="K37" s="93">
        <f>SUM(K32:K36)</f>
        <v>53506677</v>
      </c>
      <c r="L37" s="83">
        <f t="shared" si="2"/>
        <v>511030640</v>
      </c>
      <c r="M37" s="44">
        <f t="shared" si="3"/>
        <v>0.1713922218593069</v>
      </c>
      <c r="N37" s="112">
        <f>SUM(N32:N36)</f>
        <v>591839438</v>
      </c>
      <c r="O37" s="113">
        <f>SUM(O32:O36)</f>
        <v>99502546</v>
      </c>
      <c r="P37" s="114">
        <f t="shared" si="4"/>
        <v>691341984</v>
      </c>
      <c r="Q37" s="44">
        <f t="shared" si="5"/>
        <v>0.2318660162967555</v>
      </c>
      <c r="R37" s="112">
        <f>SUM(R32:R36)</f>
        <v>508925957</v>
      </c>
      <c r="S37" s="114">
        <f>SUM(S32:S36)</f>
        <v>67869823</v>
      </c>
      <c r="T37" s="114">
        <f t="shared" si="6"/>
        <v>576795780</v>
      </c>
      <c r="U37" s="44">
        <f t="shared" si="7"/>
        <v>0.1930571551599789</v>
      </c>
      <c r="V37" s="112">
        <f>SUM(V32:V36)</f>
        <v>0</v>
      </c>
      <c r="W37" s="114">
        <f>SUM(W32:W36)</f>
        <v>0</v>
      </c>
      <c r="X37" s="114">
        <f t="shared" si="8"/>
        <v>0</v>
      </c>
      <c r="Y37" s="44">
        <f t="shared" si="9"/>
        <v>0</v>
      </c>
      <c r="Z37" s="82">
        <f t="shared" si="10"/>
        <v>1558289358</v>
      </c>
      <c r="AA37" s="83">
        <f t="shared" si="11"/>
        <v>220879046</v>
      </c>
      <c r="AB37" s="83">
        <f t="shared" si="12"/>
        <v>1779168404</v>
      </c>
      <c r="AC37" s="44">
        <f t="shared" si="13"/>
        <v>0.5954987927039966</v>
      </c>
      <c r="AD37" s="82">
        <f>SUM(AD32:AD36)</f>
        <v>560890539</v>
      </c>
      <c r="AE37" s="83">
        <f>SUM(AE32:AE36)</f>
        <v>37121313</v>
      </c>
      <c r="AF37" s="83">
        <f t="shared" si="14"/>
        <v>598011852</v>
      </c>
      <c r="AG37" s="44">
        <f>IF(238191603=0,0,129581969/238191603)</f>
        <v>0.5440240855174059</v>
      </c>
      <c r="AH37" s="44">
        <f t="shared" si="15"/>
        <v>-0.03547767812468039</v>
      </c>
      <c r="AI37" s="64">
        <f>SUM(AI32:AI36)</f>
        <v>2732932351</v>
      </c>
      <c r="AJ37" s="64">
        <f>SUM(AJ32:AJ36)</f>
        <v>2785872660</v>
      </c>
      <c r="AK37" s="64">
        <f>SUM(AK32:AK36)</f>
        <v>1549661618</v>
      </c>
      <c r="AL37" s="64"/>
    </row>
    <row r="38" spans="1:38" s="57" customFormat="1" ht="12.75">
      <c r="A38" s="62"/>
      <c r="B38" s="63" t="s">
        <v>238</v>
      </c>
      <c r="C38" s="32"/>
      <c r="D38" s="82">
        <f>SUM(D9,D11:D15,D17:D22,D24:D30,D32:D36)</f>
        <v>16548249147</v>
      </c>
      <c r="E38" s="83">
        <f>SUM(E9,E11:E15,E17:E22,E24:E30,E32:E36)</f>
        <v>3475606864</v>
      </c>
      <c r="F38" s="84">
        <f t="shared" si="0"/>
        <v>20023856011</v>
      </c>
      <c r="G38" s="82">
        <f>SUM(G9,G11:G15,G17:G22,G24:G30,G32:G36)</f>
        <v>15982260320</v>
      </c>
      <c r="H38" s="83">
        <f>SUM(H9,H11:H15,H17:H22,H24:H30,H32:H36)</f>
        <v>3221679574</v>
      </c>
      <c r="I38" s="91">
        <f t="shared" si="1"/>
        <v>19203939894</v>
      </c>
      <c r="J38" s="82">
        <f>SUM(J9,J11:J15,J17:J22,J24:J30,J32:J36)</f>
        <v>3171863346</v>
      </c>
      <c r="K38" s="93">
        <f>SUM(K9,K11:K15,K17:K22,K24:K30,K32:K36)</f>
        <v>424383906</v>
      </c>
      <c r="L38" s="83">
        <f t="shared" si="2"/>
        <v>3596247252</v>
      </c>
      <c r="M38" s="44">
        <f t="shared" si="3"/>
        <v>0.1795981378424026</v>
      </c>
      <c r="N38" s="112">
        <f>SUM(N9,N11:N15,N17:N22,N24:N30,N32:N36)</f>
        <v>3365576096</v>
      </c>
      <c r="O38" s="113">
        <f>SUM(O9,O11:O15,O17:O22,O24:O30,O32:O36)</f>
        <v>746424736</v>
      </c>
      <c r="P38" s="114">
        <f t="shared" si="4"/>
        <v>4112000832</v>
      </c>
      <c r="Q38" s="44">
        <f t="shared" si="5"/>
        <v>0.20535509393101378</v>
      </c>
      <c r="R38" s="112">
        <f>SUM(R9,R11:R15,R17:R22,R24:R30,R32:R36)</f>
        <v>3203527401</v>
      </c>
      <c r="S38" s="114">
        <f>SUM(S9,S11:S15,S17:S22,S24:S30,S32:S36)</f>
        <v>637882894</v>
      </c>
      <c r="T38" s="114">
        <f t="shared" si="6"/>
        <v>3841410295</v>
      </c>
      <c r="U38" s="44">
        <f t="shared" si="7"/>
        <v>0.20003240565235234</v>
      </c>
      <c r="V38" s="112">
        <f>SUM(V9,V11:V15,V17:V22,V24:V30,V32:V36)</f>
        <v>0</v>
      </c>
      <c r="W38" s="114">
        <f>SUM(W9,W11:W15,W17:W22,W24:W30,W32:W36)</f>
        <v>0</v>
      </c>
      <c r="X38" s="114">
        <f t="shared" si="8"/>
        <v>0</v>
      </c>
      <c r="Y38" s="44">
        <f t="shared" si="9"/>
        <v>0</v>
      </c>
      <c r="Z38" s="82">
        <f t="shared" si="10"/>
        <v>9740966843</v>
      </c>
      <c r="AA38" s="83">
        <f t="shared" si="11"/>
        <v>1808691536</v>
      </c>
      <c r="AB38" s="83">
        <f t="shared" si="12"/>
        <v>11549658379</v>
      </c>
      <c r="AC38" s="44">
        <f t="shared" si="13"/>
        <v>0.6014212938985779</v>
      </c>
      <c r="AD38" s="82">
        <f>SUM(AD9,AD11:AD15,AD17:AD22,AD24:AD30,AD32:AD36)</f>
        <v>2872555241</v>
      </c>
      <c r="AE38" s="83">
        <f>SUM(AE9,AE11:AE15,AE17:AE22,AE24:AE30,AE32:AE36)</f>
        <v>509412639</v>
      </c>
      <c r="AF38" s="83">
        <f t="shared" si="14"/>
        <v>3381967880</v>
      </c>
      <c r="AG38" s="44">
        <f>IF(238191603=0,0,129581969/238191603)</f>
        <v>0.5440240855174059</v>
      </c>
      <c r="AH38" s="44">
        <f t="shared" si="15"/>
        <v>0.1358506145836016</v>
      </c>
      <c r="AI38" s="64">
        <f>SUM(AI9,AI11:AI15,AI17:AI22,AI24:AI30,AI32:AI36)</f>
        <v>17997911566</v>
      </c>
      <c r="AJ38" s="64">
        <f>SUM(AJ9,AJ11:AJ15,AJ17:AJ22,AJ24:AJ30,AJ32:AJ36)</f>
        <v>18010028461</v>
      </c>
      <c r="AK38" s="64">
        <f>SUM(AK9,AK11:AK15,AK17:AK22,AK24:AK30,AK32:AK36)</f>
        <v>9981850420</v>
      </c>
      <c r="AL38" s="64"/>
    </row>
    <row r="39" spans="1:38" s="13" customFormat="1" ht="12.75">
      <c r="A39" s="65"/>
      <c r="B39" s="66"/>
      <c r="C39" s="67"/>
      <c r="D39" s="94"/>
      <c r="E39" s="94"/>
      <c r="F39" s="95"/>
      <c r="G39" s="96"/>
      <c r="H39" s="94"/>
      <c r="I39" s="97"/>
      <c r="J39" s="96"/>
      <c r="K39" s="98"/>
      <c r="L39" s="94"/>
      <c r="M39" s="71"/>
      <c r="N39" s="96"/>
      <c r="O39" s="98"/>
      <c r="P39" s="94"/>
      <c r="Q39" s="71"/>
      <c r="R39" s="96"/>
      <c r="S39" s="98"/>
      <c r="T39" s="94"/>
      <c r="U39" s="71"/>
      <c r="V39" s="96"/>
      <c r="W39" s="98"/>
      <c r="X39" s="94"/>
      <c r="Y39" s="71"/>
      <c r="Z39" s="96"/>
      <c r="AA39" s="98"/>
      <c r="AB39" s="94"/>
      <c r="AC39" s="71"/>
      <c r="AD39" s="96"/>
      <c r="AE39" s="94"/>
      <c r="AF39" s="94"/>
      <c r="AG39" s="71"/>
      <c r="AH39" s="71"/>
      <c r="AI39" s="12"/>
      <c r="AJ39" s="12"/>
      <c r="AK39" s="12"/>
      <c r="AL39" s="12"/>
    </row>
    <row r="40" spans="1:38" s="13" customFormat="1" ht="12.75">
      <c r="A40" s="12"/>
      <c r="B40" s="58"/>
      <c r="C40" s="12"/>
      <c r="D40" s="89"/>
      <c r="E40" s="89"/>
      <c r="F40" s="89"/>
      <c r="G40" s="89"/>
      <c r="H40" s="89"/>
      <c r="I40" s="89"/>
      <c r="J40" s="89"/>
      <c r="K40" s="89"/>
      <c r="L40" s="89"/>
      <c r="M40" s="12"/>
      <c r="N40" s="89"/>
      <c r="O40" s="89"/>
      <c r="P40" s="89"/>
      <c r="Q40" s="12"/>
      <c r="R40" s="89"/>
      <c r="S40" s="89"/>
      <c r="T40" s="89"/>
      <c r="U40" s="12"/>
      <c r="V40" s="89"/>
      <c r="W40" s="89"/>
      <c r="X40" s="89"/>
      <c r="Y40" s="12"/>
      <c r="Z40" s="89"/>
      <c r="AA40" s="89"/>
      <c r="AB40" s="89"/>
      <c r="AC40" s="12"/>
      <c r="AD40" s="89"/>
      <c r="AE40" s="89"/>
      <c r="AF40" s="89"/>
      <c r="AG40" s="12"/>
      <c r="AH40" s="12"/>
      <c r="AI40" s="12"/>
      <c r="AJ40" s="12"/>
      <c r="AK40" s="12"/>
      <c r="AL40" s="12"/>
    </row>
    <row r="41" spans="1:38" ht="12.75">
      <c r="A41" s="2"/>
      <c r="B41" s="2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24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93</v>
      </c>
      <c r="B9" s="61" t="s">
        <v>43</v>
      </c>
      <c r="C9" s="39" t="s">
        <v>44</v>
      </c>
      <c r="D9" s="78">
        <v>29321871899</v>
      </c>
      <c r="E9" s="79">
        <v>4471563427</v>
      </c>
      <c r="F9" s="80">
        <f>$D9+$E9</f>
        <v>33793435326</v>
      </c>
      <c r="G9" s="78">
        <v>30134372182</v>
      </c>
      <c r="H9" s="79">
        <v>4647061405</v>
      </c>
      <c r="I9" s="81">
        <f>$G9+$H9</f>
        <v>34781433587</v>
      </c>
      <c r="J9" s="78">
        <v>7087662855</v>
      </c>
      <c r="K9" s="79">
        <v>299927335</v>
      </c>
      <c r="L9" s="79">
        <f>$J9+$K9</f>
        <v>7387590190</v>
      </c>
      <c r="M9" s="40">
        <f>IF($F9=0,0,$L9/$F9)</f>
        <v>0.21861021582248355</v>
      </c>
      <c r="N9" s="106">
        <v>7687563015</v>
      </c>
      <c r="O9" s="107">
        <v>1000625682</v>
      </c>
      <c r="P9" s="108">
        <f>$N9+$O9</f>
        <v>8688188697</v>
      </c>
      <c r="Q9" s="40">
        <f>IF($F9=0,0,$P9/$F9)</f>
        <v>0.25709693652587845</v>
      </c>
      <c r="R9" s="106">
        <v>6411770314</v>
      </c>
      <c r="S9" s="108">
        <v>508666008</v>
      </c>
      <c r="T9" s="108">
        <f>$R9+$S9</f>
        <v>6920436322</v>
      </c>
      <c r="U9" s="40">
        <f>IF($I9=0,0,$T9/$I9)</f>
        <v>0.19896926630955777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21186996184</v>
      </c>
      <c r="AA9" s="79">
        <f>$K9+$O9+$S9</f>
        <v>1809219025</v>
      </c>
      <c r="AB9" s="79">
        <f>$Z9+$AA9</f>
        <v>22996215209</v>
      </c>
      <c r="AC9" s="40">
        <f>IF($I9=0,0,$AB9/$I9)</f>
        <v>0.6611635242543633</v>
      </c>
      <c r="AD9" s="78">
        <v>5515081152</v>
      </c>
      <c r="AE9" s="79">
        <v>587326937</v>
      </c>
      <c r="AF9" s="79">
        <f>$AD9+$AE9</f>
        <v>6102408089</v>
      </c>
      <c r="AG9" s="40">
        <f>IF(30302134775=0,0,18564745299/30302134775)</f>
        <v>0.6126547002990815</v>
      </c>
      <c r="AH9" s="40">
        <f>IF($AF9=0,0,(($T9/$AF9)-1))</f>
        <v>0.1340500702459657</v>
      </c>
      <c r="AI9" s="12">
        <v>29985183336</v>
      </c>
      <c r="AJ9" s="12">
        <v>30302134775</v>
      </c>
      <c r="AK9" s="12">
        <v>18564745299</v>
      </c>
      <c r="AL9" s="12"/>
    </row>
    <row r="10" spans="1:38" s="13" customFormat="1" ht="12.75">
      <c r="A10" s="29" t="s">
        <v>93</v>
      </c>
      <c r="B10" s="61" t="s">
        <v>47</v>
      </c>
      <c r="C10" s="39" t="s">
        <v>48</v>
      </c>
      <c r="D10" s="78">
        <v>43195322624</v>
      </c>
      <c r="E10" s="79">
        <v>9896853000</v>
      </c>
      <c r="F10" s="81">
        <f aca="true" t="shared" si="0" ref="F10:F24">$D10+$E10</f>
        <v>53092175624</v>
      </c>
      <c r="G10" s="78">
        <v>43526976000</v>
      </c>
      <c r="H10" s="79">
        <v>9323557000</v>
      </c>
      <c r="I10" s="81">
        <f aca="true" t="shared" si="1" ref="I10:I24">$G10+$H10</f>
        <v>52850533000</v>
      </c>
      <c r="J10" s="78">
        <v>10377125258</v>
      </c>
      <c r="K10" s="79">
        <v>959228000</v>
      </c>
      <c r="L10" s="79">
        <f aca="true" t="shared" si="2" ref="L10:L24">$J10+$K10</f>
        <v>11336353258</v>
      </c>
      <c r="M10" s="40">
        <f aca="true" t="shared" si="3" ref="M10:M24">IF($F10=0,0,$L10/$F10)</f>
        <v>0.2135221080086134</v>
      </c>
      <c r="N10" s="106">
        <v>9705179639</v>
      </c>
      <c r="O10" s="107">
        <v>1703181000</v>
      </c>
      <c r="P10" s="108">
        <f aca="true" t="shared" si="4" ref="P10:P24">$N10+$O10</f>
        <v>11408360639</v>
      </c>
      <c r="Q10" s="40">
        <f aca="true" t="shared" si="5" ref="Q10:Q24">IF($F10=0,0,$P10/$F10)</f>
        <v>0.21487837906275062</v>
      </c>
      <c r="R10" s="106">
        <v>9358105805</v>
      </c>
      <c r="S10" s="108">
        <v>1416994686</v>
      </c>
      <c r="T10" s="108">
        <f aca="true" t="shared" si="6" ref="T10:T24">$R10+$S10</f>
        <v>10775100491</v>
      </c>
      <c r="U10" s="40">
        <f aca="true" t="shared" si="7" ref="U10:U24">IF($I10=0,0,$T10/$I10)</f>
        <v>0.2038787478453623</v>
      </c>
      <c r="V10" s="106">
        <v>0</v>
      </c>
      <c r="W10" s="108">
        <v>0</v>
      </c>
      <c r="X10" s="108">
        <f aca="true" t="shared" si="8" ref="X10:X24">$V10+$W10</f>
        <v>0</v>
      </c>
      <c r="Y10" s="40">
        <f aca="true" t="shared" si="9" ref="Y10:Y24">IF($I10=0,0,$X10/$I10)</f>
        <v>0</v>
      </c>
      <c r="Z10" s="78">
        <f aca="true" t="shared" si="10" ref="Z10:Z24">$J10+$N10+$R10</f>
        <v>29440410702</v>
      </c>
      <c r="AA10" s="79">
        <f aca="true" t="shared" si="11" ref="AA10:AA24">$K10+$O10+$S10</f>
        <v>4079403686</v>
      </c>
      <c r="AB10" s="79">
        <f aca="true" t="shared" si="12" ref="AB10:AB24">$Z10+$AA10</f>
        <v>33519814388</v>
      </c>
      <c r="AC10" s="40">
        <f aca="true" t="shared" si="13" ref="AC10:AC24">IF($I10=0,0,$AB10/$I10)</f>
        <v>0.6342379628981225</v>
      </c>
      <c r="AD10" s="78">
        <v>8782619351</v>
      </c>
      <c r="AE10" s="79">
        <v>1848847944</v>
      </c>
      <c r="AF10" s="79">
        <f aca="true" t="shared" si="14" ref="AF10:AF24">$AD10+$AE10</f>
        <v>10631467295</v>
      </c>
      <c r="AG10" s="40">
        <f>IF(50476240660=0,0,30861187179/50476240660)</f>
        <v>0.6114002702157653</v>
      </c>
      <c r="AH10" s="40">
        <f aca="true" t="shared" si="15" ref="AH10:AH24">IF($AF10=0,0,(($T10/$AF10)-1))</f>
        <v>0.013510194972574663</v>
      </c>
      <c r="AI10" s="12">
        <v>48187076329</v>
      </c>
      <c r="AJ10" s="12">
        <v>50476240660</v>
      </c>
      <c r="AK10" s="12">
        <v>30861187179</v>
      </c>
      <c r="AL10" s="12"/>
    </row>
    <row r="11" spans="1:38" s="13" customFormat="1" ht="12.75">
      <c r="A11" s="29" t="s">
        <v>93</v>
      </c>
      <c r="B11" s="61" t="s">
        <v>53</v>
      </c>
      <c r="C11" s="39" t="s">
        <v>54</v>
      </c>
      <c r="D11" s="78">
        <v>25710916381</v>
      </c>
      <c r="E11" s="79">
        <v>3856566482</v>
      </c>
      <c r="F11" s="80">
        <f t="shared" si="0"/>
        <v>29567482863</v>
      </c>
      <c r="G11" s="78">
        <v>26072851662</v>
      </c>
      <c r="H11" s="79">
        <v>3995193295</v>
      </c>
      <c r="I11" s="81">
        <f t="shared" si="1"/>
        <v>30068044957</v>
      </c>
      <c r="J11" s="78">
        <v>5747118548</v>
      </c>
      <c r="K11" s="79">
        <v>386187116</v>
      </c>
      <c r="L11" s="79">
        <f t="shared" si="2"/>
        <v>6133305664</v>
      </c>
      <c r="M11" s="40">
        <f t="shared" si="3"/>
        <v>0.20743414961694503</v>
      </c>
      <c r="N11" s="106">
        <v>7491908644</v>
      </c>
      <c r="O11" s="107">
        <v>1068767093</v>
      </c>
      <c r="P11" s="108">
        <f t="shared" si="4"/>
        <v>8560675737</v>
      </c>
      <c r="Q11" s="40">
        <f t="shared" si="5"/>
        <v>0.2895300819709822</v>
      </c>
      <c r="R11" s="106">
        <v>5978007794</v>
      </c>
      <c r="S11" s="108">
        <v>643512724</v>
      </c>
      <c r="T11" s="108">
        <f t="shared" si="6"/>
        <v>6621520518</v>
      </c>
      <c r="U11" s="40">
        <f t="shared" si="7"/>
        <v>0.22021786010594863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19217034986</v>
      </c>
      <c r="AA11" s="79">
        <f t="shared" si="11"/>
        <v>2098466933</v>
      </c>
      <c r="AB11" s="79">
        <f t="shared" si="12"/>
        <v>21315501919</v>
      </c>
      <c r="AC11" s="40">
        <f t="shared" si="13"/>
        <v>0.7089088083206966</v>
      </c>
      <c r="AD11" s="78">
        <v>5425077089</v>
      </c>
      <c r="AE11" s="79">
        <v>581288727</v>
      </c>
      <c r="AF11" s="79">
        <f t="shared" si="14"/>
        <v>6006365816</v>
      </c>
      <c r="AG11" s="40">
        <f>IF(28978498369=0,0,20726116609/28978498369)</f>
        <v>0.7152239686502163</v>
      </c>
      <c r="AH11" s="40">
        <f t="shared" si="15"/>
        <v>0.10241712224076105</v>
      </c>
      <c r="AI11" s="12">
        <v>28007942517</v>
      </c>
      <c r="AJ11" s="12">
        <v>28978498369</v>
      </c>
      <c r="AK11" s="12">
        <v>20726116609</v>
      </c>
      <c r="AL11" s="12"/>
    </row>
    <row r="12" spans="1:38" s="57" customFormat="1" ht="12.75">
      <c r="A12" s="62"/>
      <c r="B12" s="63" t="s">
        <v>94</v>
      </c>
      <c r="C12" s="32"/>
      <c r="D12" s="82">
        <f>SUM(D9:D11)</f>
        <v>98228110904</v>
      </c>
      <c r="E12" s="83">
        <f>SUM(E9:E11)</f>
        <v>18224982909</v>
      </c>
      <c r="F12" s="91">
        <f t="shared" si="0"/>
        <v>116453093813</v>
      </c>
      <c r="G12" s="82">
        <f>SUM(G9:G11)</f>
        <v>99734199844</v>
      </c>
      <c r="H12" s="83">
        <f>SUM(H9:H11)</f>
        <v>17965811700</v>
      </c>
      <c r="I12" s="84">
        <f t="shared" si="1"/>
        <v>117700011544</v>
      </c>
      <c r="J12" s="82">
        <f>SUM(J9:J11)</f>
        <v>23211906661</v>
      </c>
      <c r="K12" s="83">
        <f>SUM(K9:K11)</f>
        <v>1645342451</v>
      </c>
      <c r="L12" s="83">
        <f t="shared" si="2"/>
        <v>24857249112</v>
      </c>
      <c r="M12" s="44">
        <f t="shared" si="3"/>
        <v>0.2134528873223041</v>
      </c>
      <c r="N12" s="112">
        <f>SUM(N9:N11)</f>
        <v>24884651298</v>
      </c>
      <c r="O12" s="113">
        <f>SUM(O9:O11)</f>
        <v>3772573775</v>
      </c>
      <c r="P12" s="114">
        <f t="shared" si="4"/>
        <v>28657225073</v>
      </c>
      <c r="Q12" s="44">
        <f t="shared" si="5"/>
        <v>0.246083844874209</v>
      </c>
      <c r="R12" s="112">
        <f>SUM(R9:R11)</f>
        <v>21747883913</v>
      </c>
      <c r="S12" s="114">
        <f>SUM(S9:S11)</f>
        <v>2569173418</v>
      </c>
      <c r="T12" s="114">
        <f t="shared" si="6"/>
        <v>24317057331</v>
      </c>
      <c r="U12" s="44">
        <f t="shared" si="7"/>
        <v>0.20660199614262156</v>
      </c>
      <c r="V12" s="112">
        <f>SUM(V9:V11)</f>
        <v>0</v>
      </c>
      <c r="W12" s="114">
        <f>SUM(W9:W11)</f>
        <v>0</v>
      </c>
      <c r="X12" s="114">
        <f t="shared" si="8"/>
        <v>0</v>
      </c>
      <c r="Y12" s="44">
        <f t="shared" si="9"/>
        <v>0</v>
      </c>
      <c r="Z12" s="82">
        <f t="shared" si="10"/>
        <v>69844441872</v>
      </c>
      <c r="AA12" s="83">
        <f t="shared" si="11"/>
        <v>7987089644</v>
      </c>
      <c r="AB12" s="83">
        <f t="shared" si="12"/>
        <v>77831531516</v>
      </c>
      <c r="AC12" s="44">
        <f t="shared" si="13"/>
        <v>0.6612703813279075</v>
      </c>
      <c r="AD12" s="82">
        <f>SUM(AD9:AD11)</f>
        <v>19722777592</v>
      </c>
      <c r="AE12" s="83">
        <f>SUM(AE9:AE11)</f>
        <v>3017463608</v>
      </c>
      <c r="AF12" s="83">
        <f t="shared" si="14"/>
        <v>22740241200</v>
      </c>
      <c r="AG12" s="44">
        <f>IF(28978498369=0,0,20726116609/28978498369)</f>
        <v>0.7152239686502163</v>
      </c>
      <c r="AH12" s="44">
        <f t="shared" si="15"/>
        <v>0.06934034327657002</v>
      </c>
      <c r="AI12" s="64">
        <f>SUM(AI9:AI11)</f>
        <v>106180202182</v>
      </c>
      <c r="AJ12" s="64">
        <f>SUM(AJ9:AJ11)</f>
        <v>109756873804</v>
      </c>
      <c r="AK12" s="64">
        <f>SUM(AK9:AK11)</f>
        <v>70152049087</v>
      </c>
      <c r="AL12" s="64"/>
    </row>
    <row r="13" spans="1:38" s="13" customFormat="1" ht="12.75">
      <c r="A13" s="29" t="s">
        <v>95</v>
      </c>
      <c r="B13" s="61" t="s">
        <v>61</v>
      </c>
      <c r="C13" s="39" t="s">
        <v>62</v>
      </c>
      <c r="D13" s="78">
        <v>5222358552</v>
      </c>
      <c r="E13" s="79">
        <v>533880960</v>
      </c>
      <c r="F13" s="80">
        <f t="shared" si="0"/>
        <v>5756239512</v>
      </c>
      <c r="G13" s="78">
        <v>5442623522</v>
      </c>
      <c r="H13" s="79">
        <v>335840772</v>
      </c>
      <c r="I13" s="81">
        <f t="shared" si="1"/>
        <v>5778464294</v>
      </c>
      <c r="J13" s="78">
        <v>893659233</v>
      </c>
      <c r="K13" s="79">
        <v>54899541</v>
      </c>
      <c r="L13" s="79">
        <f t="shared" si="2"/>
        <v>948558774</v>
      </c>
      <c r="M13" s="40">
        <f t="shared" si="3"/>
        <v>0.16478792656604105</v>
      </c>
      <c r="N13" s="106">
        <v>1185988307</v>
      </c>
      <c r="O13" s="107">
        <v>50035079</v>
      </c>
      <c r="P13" s="108">
        <f t="shared" si="4"/>
        <v>1236023386</v>
      </c>
      <c r="Q13" s="40">
        <f t="shared" si="5"/>
        <v>0.21472758098812064</v>
      </c>
      <c r="R13" s="106">
        <v>1304311101</v>
      </c>
      <c r="S13" s="108">
        <v>20914701</v>
      </c>
      <c r="T13" s="108">
        <f t="shared" si="6"/>
        <v>1325225802</v>
      </c>
      <c r="U13" s="40">
        <f t="shared" si="7"/>
        <v>0.2293387541350792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3383958641</v>
      </c>
      <c r="AA13" s="79">
        <f t="shared" si="11"/>
        <v>125849321</v>
      </c>
      <c r="AB13" s="79">
        <f t="shared" si="12"/>
        <v>3509807962</v>
      </c>
      <c r="AC13" s="40">
        <f t="shared" si="13"/>
        <v>0.6073945919583457</v>
      </c>
      <c r="AD13" s="78">
        <v>1155903889</v>
      </c>
      <c r="AE13" s="79">
        <v>31987643</v>
      </c>
      <c r="AF13" s="79">
        <f t="shared" si="14"/>
        <v>1187891532</v>
      </c>
      <c r="AG13" s="40">
        <f>IF(5179765269=0,0,3144575409/5179765269)</f>
        <v>0.6070883998971421</v>
      </c>
      <c r="AH13" s="40">
        <f t="shared" si="15"/>
        <v>0.11561179308078451</v>
      </c>
      <c r="AI13" s="12">
        <v>4974546477</v>
      </c>
      <c r="AJ13" s="12">
        <v>5179765269</v>
      </c>
      <c r="AK13" s="12">
        <v>3144575409</v>
      </c>
      <c r="AL13" s="12"/>
    </row>
    <row r="14" spans="1:38" s="13" customFormat="1" ht="12.75">
      <c r="A14" s="29" t="s">
        <v>95</v>
      </c>
      <c r="B14" s="61" t="s">
        <v>239</v>
      </c>
      <c r="C14" s="39" t="s">
        <v>240</v>
      </c>
      <c r="D14" s="78">
        <v>991697166</v>
      </c>
      <c r="E14" s="79">
        <v>91790000</v>
      </c>
      <c r="F14" s="80">
        <f t="shared" si="0"/>
        <v>1083487166</v>
      </c>
      <c r="G14" s="78">
        <v>937120972</v>
      </c>
      <c r="H14" s="79">
        <v>92569404</v>
      </c>
      <c r="I14" s="81">
        <f t="shared" si="1"/>
        <v>1029690376</v>
      </c>
      <c r="J14" s="78">
        <v>222166372</v>
      </c>
      <c r="K14" s="79">
        <v>7090948</v>
      </c>
      <c r="L14" s="79">
        <f t="shared" si="2"/>
        <v>229257320</v>
      </c>
      <c r="M14" s="40">
        <f t="shared" si="3"/>
        <v>0.21159209559109812</v>
      </c>
      <c r="N14" s="106">
        <v>209706241</v>
      </c>
      <c r="O14" s="107">
        <v>14723440</v>
      </c>
      <c r="P14" s="108">
        <f t="shared" si="4"/>
        <v>224429681</v>
      </c>
      <c r="Q14" s="40">
        <f t="shared" si="5"/>
        <v>0.20713644613673254</v>
      </c>
      <c r="R14" s="106">
        <v>162878696</v>
      </c>
      <c r="S14" s="108">
        <v>16212169</v>
      </c>
      <c r="T14" s="108">
        <f t="shared" si="6"/>
        <v>179090865</v>
      </c>
      <c r="U14" s="40">
        <f t="shared" si="7"/>
        <v>0.17392690965580124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594751309</v>
      </c>
      <c r="AA14" s="79">
        <f t="shared" si="11"/>
        <v>38026557</v>
      </c>
      <c r="AB14" s="79">
        <f t="shared" si="12"/>
        <v>632777866</v>
      </c>
      <c r="AC14" s="40">
        <f t="shared" si="13"/>
        <v>0.6145321746699515</v>
      </c>
      <c r="AD14" s="78">
        <v>205603856</v>
      </c>
      <c r="AE14" s="79">
        <v>12778974</v>
      </c>
      <c r="AF14" s="79">
        <f t="shared" si="14"/>
        <v>218382830</v>
      </c>
      <c r="AG14" s="40">
        <f>IF(940722453=0,0,639211680/940722453)</f>
        <v>0.6794901917792324</v>
      </c>
      <c r="AH14" s="40">
        <f t="shared" si="15"/>
        <v>-0.1799224096509785</v>
      </c>
      <c r="AI14" s="12">
        <v>910544699</v>
      </c>
      <c r="AJ14" s="12">
        <v>940722453</v>
      </c>
      <c r="AK14" s="12">
        <v>639211680</v>
      </c>
      <c r="AL14" s="12"/>
    </row>
    <row r="15" spans="1:38" s="13" customFormat="1" ht="12.75">
      <c r="A15" s="29" t="s">
        <v>95</v>
      </c>
      <c r="B15" s="61" t="s">
        <v>241</v>
      </c>
      <c r="C15" s="39" t="s">
        <v>242</v>
      </c>
      <c r="D15" s="78">
        <v>581026984</v>
      </c>
      <c r="E15" s="79">
        <v>52199000</v>
      </c>
      <c r="F15" s="80">
        <f t="shared" si="0"/>
        <v>633225984</v>
      </c>
      <c r="G15" s="78">
        <v>619191190</v>
      </c>
      <c r="H15" s="79">
        <v>45086528</v>
      </c>
      <c r="I15" s="81">
        <f t="shared" si="1"/>
        <v>664277718</v>
      </c>
      <c r="J15" s="78">
        <v>132971111</v>
      </c>
      <c r="K15" s="79">
        <v>2376867</v>
      </c>
      <c r="L15" s="79">
        <f t="shared" si="2"/>
        <v>135347978</v>
      </c>
      <c r="M15" s="40">
        <f t="shared" si="3"/>
        <v>0.21374356299314465</v>
      </c>
      <c r="N15" s="106">
        <v>105416809</v>
      </c>
      <c r="O15" s="107">
        <v>3066414</v>
      </c>
      <c r="P15" s="108">
        <f t="shared" si="4"/>
        <v>108483223</v>
      </c>
      <c r="Q15" s="40">
        <f t="shared" si="5"/>
        <v>0.17131833775159802</v>
      </c>
      <c r="R15" s="106">
        <v>139790872</v>
      </c>
      <c r="S15" s="108">
        <v>5253499</v>
      </c>
      <c r="T15" s="108">
        <f t="shared" si="6"/>
        <v>145044371</v>
      </c>
      <c r="U15" s="40">
        <f t="shared" si="7"/>
        <v>0.21834899330463467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378178792</v>
      </c>
      <c r="AA15" s="79">
        <f t="shared" si="11"/>
        <v>10696780</v>
      </c>
      <c r="AB15" s="79">
        <f t="shared" si="12"/>
        <v>388875572</v>
      </c>
      <c r="AC15" s="40">
        <f t="shared" si="13"/>
        <v>0.585411133721032</v>
      </c>
      <c r="AD15" s="78">
        <v>200944086</v>
      </c>
      <c r="AE15" s="79">
        <v>3519900</v>
      </c>
      <c r="AF15" s="79">
        <f t="shared" si="14"/>
        <v>204463986</v>
      </c>
      <c r="AG15" s="40">
        <f>IF(604370968=0,0,400532975/604370968)</f>
        <v>0.6627270272850035</v>
      </c>
      <c r="AH15" s="40">
        <f t="shared" si="15"/>
        <v>-0.2906116434607706</v>
      </c>
      <c r="AI15" s="12">
        <v>591863329</v>
      </c>
      <c r="AJ15" s="12">
        <v>604370968</v>
      </c>
      <c r="AK15" s="12">
        <v>400532975</v>
      </c>
      <c r="AL15" s="12"/>
    </row>
    <row r="16" spans="1:38" s="13" customFormat="1" ht="12.75">
      <c r="A16" s="29" t="s">
        <v>114</v>
      </c>
      <c r="B16" s="61" t="s">
        <v>243</v>
      </c>
      <c r="C16" s="39" t="s">
        <v>244</v>
      </c>
      <c r="D16" s="78">
        <v>359641006</v>
      </c>
      <c r="E16" s="79">
        <v>13616000</v>
      </c>
      <c r="F16" s="80">
        <f t="shared" si="0"/>
        <v>373257006</v>
      </c>
      <c r="G16" s="78">
        <v>375331841</v>
      </c>
      <c r="H16" s="79">
        <v>9950741</v>
      </c>
      <c r="I16" s="81">
        <f t="shared" si="1"/>
        <v>385282582</v>
      </c>
      <c r="J16" s="78">
        <v>88567679</v>
      </c>
      <c r="K16" s="79">
        <v>1811703</v>
      </c>
      <c r="L16" s="79">
        <f t="shared" si="2"/>
        <v>90379382</v>
      </c>
      <c r="M16" s="40">
        <f t="shared" si="3"/>
        <v>0.24213713486197766</v>
      </c>
      <c r="N16" s="106">
        <v>90484147</v>
      </c>
      <c r="O16" s="107">
        <v>1917409</v>
      </c>
      <c r="P16" s="108">
        <f t="shared" si="4"/>
        <v>92401556</v>
      </c>
      <c r="Q16" s="40">
        <f t="shared" si="5"/>
        <v>0.24755477998984968</v>
      </c>
      <c r="R16" s="106">
        <v>88804344</v>
      </c>
      <c r="S16" s="108">
        <v>3167078</v>
      </c>
      <c r="T16" s="108">
        <f t="shared" si="6"/>
        <v>91971422</v>
      </c>
      <c r="U16" s="40">
        <f t="shared" si="7"/>
        <v>0.238711601034692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267856170</v>
      </c>
      <c r="AA16" s="79">
        <f t="shared" si="11"/>
        <v>6896190</v>
      </c>
      <c r="AB16" s="79">
        <f t="shared" si="12"/>
        <v>274752360</v>
      </c>
      <c r="AC16" s="40">
        <f t="shared" si="13"/>
        <v>0.7131190789206245</v>
      </c>
      <c r="AD16" s="78">
        <v>81843441</v>
      </c>
      <c r="AE16" s="79">
        <v>2351456</v>
      </c>
      <c r="AF16" s="79">
        <f t="shared" si="14"/>
        <v>84194897</v>
      </c>
      <c r="AG16" s="40">
        <f>IF(396559929=0,0,262231154/396559929)</f>
        <v>0.6612648803454875</v>
      </c>
      <c r="AH16" s="40">
        <f t="shared" si="15"/>
        <v>0.09236337684456108</v>
      </c>
      <c r="AI16" s="12">
        <v>366043011</v>
      </c>
      <c r="AJ16" s="12">
        <v>396559929</v>
      </c>
      <c r="AK16" s="12">
        <v>262231154</v>
      </c>
      <c r="AL16" s="12"/>
    </row>
    <row r="17" spans="1:38" s="57" customFormat="1" ht="12.75">
      <c r="A17" s="62"/>
      <c r="B17" s="63" t="s">
        <v>245</v>
      </c>
      <c r="C17" s="32"/>
      <c r="D17" s="82">
        <f>SUM(D13:D16)</f>
        <v>7154723708</v>
      </c>
      <c r="E17" s="83">
        <f>SUM(E13:E16)</f>
        <v>691485960</v>
      </c>
      <c r="F17" s="91">
        <f t="shared" si="0"/>
        <v>7846209668</v>
      </c>
      <c r="G17" s="82">
        <f>SUM(G13:G16)</f>
        <v>7374267525</v>
      </c>
      <c r="H17" s="83">
        <f>SUM(H13:H16)</f>
        <v>483447445</v>
      </c>
      <c r="I17" s="84">
        <f t="shared" si="1"/>
        <v>7857714970</v>
      </c>
      <c r="J17" s="82">
        <f>SUM(J13:J16)</f>
        <v>1337364395</v>
      </c>
      <c r="K17" s="83">
        <f>SUM(K13:K16)</f>
        <v>66179059</v>
      </c>
      <c r="L17" s="83">
        <f t="shared" si="2"/>
        <v>1403543454</v>
      </c>
      <c r="M17" s="44">
        <f t="shared" si="3"/>
        <v>0.17888171657255286</v>
      </c>
      <c r="N17" s="112">
        <f>SUM(N13:N16)</f>
        <v>1591595504</v>
      </c>
      <c r="O17" s="113">
        <f>SUM(O13:O16)</f>
        <v>69742342</v>
      </c>
      <c r="P17" s="114">
        <f t="shared" si="4"/>
        <v>1661337846</v>
      </c>
      <c r="Q17" s="44">
        <f t="shared" si="5"/>
        <v>0.21173763081754038</v>
      </c>
      <c r="R17" s="112">
        <f>SUM(R13:R16)</f>
        <v>1695785013</v>
      </c>
      <c r="S17" s="114">
        <f>SUM(S13:S16)</f>
        <v>45547447</v>
      </c>
      <c r="T17" s="114">
        <f t="shared" si="6"/>
        <v>1741332460</v>
      </c>
      <c r="U17" s="44">
        <f t="shared" si="7"/>
        <v>0.2216079950275926</v>
      </c>
      <c r="V17" s="112">
        <f>SUM(V13:V16)</f>
        <v>0</v>
      </c>
      <c r="W17" s="114">
        <f>SUM(W13:W16)</f>
        <v>0</v>
      </c>
      <c r="X17" s="114">
        <f t="shared" si="8"/>
        <v>0</v>
      </c>
      <c r="Y17" s="44">
        <f t="shared" si="9"/>
        <v>0</v>
      </c>
      <c r="Z17" s="82">
        <f t="shared" si="10"/>
        <v>4624744912</v>
      </c>
      <c r="AA17" s="83">
        <f t="shared" si="11"/>
        <v>181468848</v>
      </c>
      <c r="AB17" s="83">
        <f t="shared" si="12"/>
        <v>4806213760</v>
      </c>
      <c r="AC17" s="44">
        <f t="shared" si="13"/>
        <v>0.6116553957924997</v>
      </c>
      <c r="AD17" s="82">
        <f>SUM(AD13:AD16)</f>
        <v>1644295272</v>
      </c>
      <c r="AE17" s="83">
        <f>SUM(AE13:AE16)</f>
        <v>50637973</v>
      </c>
      <c r="AF17" s="83">
        <f t="shared" si="14"/>
        <v>1694933245</v>
      </c>
      <c r="AG17" s="44">
        <f>IF(396559929=0,0,262231154/396559929)</f>
        <v>0.6612648803454875</v>
      </c>
      <c r="AH17" s="44">
        <f t="shared" si="15"/>
        <v>0.027375246274079723</v>
      </c>
      <c r="AI17" s="64">
        <f>SUM(AI13:AI16)</f>
        <v>6842997516</v>
      </c>
      <c r="AJ17" s="64">
        <f>SUM(AJ13:AJ16)</f>
        <v>7121418619</v>
      </c>
      <c r="AK17" s="64">
        <f>SUM(AK13:AK16)</f>
        <v>4446551218</v>
      </c>
      <c r="AL17" s="64"/>
    </row>
    <row r="18" spans="1:38" s="13" customFormat="1" ht="12.75">
      <c r="A18" s="29" t="s">
        <v>95</v>
      </c>
      <c r="B18" s="61" t="s">
        <v>73</v>
      </c>
      <c r="C18" s="39" t="s">
        <v>74</v>
      </c>
      <c r="D18" s="78">
        <v>2593074693</v>
      </c>
      <c r="E18" s="79">
        <v>293360149</v>
      </c>
      <c r="F18" s="80">
        <f t="shared" si="0"/>
        <v>2886434842</v>
      </c>
      <c r="G18" s="78">
        <v>2612195719</v>
      </c>
      <c r="H18" s="79">
        <v>383640412</v>
      </c>
      <c r="I18" s="81">
        <f t="shared" si="1"/>
        <v>2995836131</v>
      </c>
      <c r="J18" s="78">
        <v>595118169</v>
      </c>
      <c r="K18" s="79">
        <v>29401256</v>
      </c>
      <c r="L18" s="79">
        <f t="shared" si="2"/>
        <v>624519425</v>
      </c>
      <c r="M18" s="40">
        <f t="shared" si="3"/>
        <v>0.21636359702728394</v>
      </c>
      <c r="N18" s="106">
        <v>570559221</v>
      </c>
      <c r="O18" s="107">
        <v>96816822</v>
      </c>
      <c r="P18" s="108">
        <f t="shared" si="4"/>
        <v>667376043</v>
      </c>
      <c r="Q18" s="40">
        <f t="shared" si="5"/>
        <v>0.23121119288373668</v>
      </c>
      <c r="R18" s="106">
        <v>550995039</v>
      </c>
      <c r="S18" s="108">
        <v>70149315</v>
      </c>
      <c r="T18" s="108">
        <f t="shared" si="6"/>
        <v>621144354</v>
      </c>
      <c r="U18" s="40">
        <f t="shared" si="7"/>
        <v>0.20733589116326737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1716672429</v>
      </c>
      <c r="AA18" s="79">
        <f t="shared" si="11"/>
        <v>196367393</v>
      </c>
      <c r="AB18" s="79">
        <f t="shared" si="12"/>
        <v>1913039822</v>
      </c>
      <c r="AC18" s="40">
        <f t="shared" si="13"/>
        <v>0.6385662427275132</v>
      </c>
      <c r="AD18" s="78">
        <v>553595422</v>
      </c>
      <c r="AE18" s="79">
        <v>68294498</v>
      </c>
      <c r="AF18" s="79">
        <f t="shared" si="14"/>
        <v>621889920</v>
      </c>
      <c r="AG18" s="40">
        <f>IF(2909216780=0,0,1769451373/2909216780)</f>
        <v>0.6082225928175762</v>
      </c>
      <c r="AH18" s="40">
        <f t="shared" si="15"/>
        <v>-0.0011988713372296234</v>
      </c>
      <c r="AI18" s="12">
        <v>2854403535</v>
      </c>
      <c r="AJ18" s="12">
        <v>2909216780</v>
      </c>
      <c r="AK18" s="12">
        <v>1769451373</v>
      </c>
      <c r="AL18" s="12"/>
    </row>
    <row r="19" spans="1:38" s="13" customFormat="1" ht="12.75">
      <c r="A19" s="29" t="s">
        <v>95</v>
      </c>
      <c r="B19" s="61" t="s">
        <v>246</v>
      </c>
      <c r="C19" s="39" t="s">
        <v>247</v>
      </c>
      <c r="D19" s="78">
        <v>957823581</v>
      </c>
      <c r="E19" s="79">
        <v>103097000</v>
      </c>
      <c r="F19" s="80">
        <f t="shared" si="0"/>
        <v>1060920581</v>
      </c>
      <c r="G19" s="78">
        <v>975542605</v>
      </c>
      <c r="H19" s="79">
        <v>125699859</v>
      </c>
      <c r="I19" s="81">
        <f t="shared" si="1"/>
        <v>1101242464</v>
      </c>
      <c r="J19" s="78">
        <v>211999778</v>
      </c>
      <c r="K19" s="79">
        <v>11213755</v>
      </c>
      <c r="L19" s="79">
        <f t="shared" si="2"/>
        <v>223213533</v>
      </c>
      <c r="M19" s="40">
        <f t="shared" si="3"/>
        <v>0.21039608147633815</v>
      </c>
      <c r="N19" s="106">
        <v>203289785</v>
      </c>
      <c r="O19" s="107">
        <v>27999051</v>
      </c>
      <c r="P19" s="108">
        <f t="shared" si="4"/>
        <v>231288836</v>
      </c>
      <c r="Q19" s="40">
        <f t="shared" si="5"/>
        <v>0.21800768138741575</v>
      </c>
      <c r="R19" s="106">
        <v>241191235</v>
      </c>
      <c r="S19" s="108">
        <v>19564221</v>
      </c>
      <c r="T19" s="108">
        <f t="shared" si="6"/>
        <v>260755456</v>
      </c>
      <c r="U19" s="40">
        <f t="shared" si="7"/>
        <v>0.23678296517269062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656480798</v>
      </c>
      <c r="AA19" s="79">
        <f t="shared" si="11"/>
        <v>58777027</v>
      </c>
      <c r="AB19" s="79">
        <f t="shared" si="12"/>
        <v>715257825</v>
      </c>
      <c r="AC19" s="40">
        <f t="shared" si="13"/>
        <v>0.6495007669809579</v>
      </c>
      <c r="AD19" s="78">
        <v>239138129</v>
      </c>
      <c r="AE19" s="79">
        <v>16625936</v>
      </c>
      <c r="AF19" s="79">
        <f t="shared" si="14"/>
        <v>255764065</v>
      </c>
      <c r="AG19" s="40">
        <f>IF(1044990245=0,0,653717826/1044990245)</f>
        <v>0.6255731372879945</v>
      </c>
      <c r="AH19" s="40">
        <f t="shared" si="15"/>
        <v>0.019515607088900433</v>
      </c>
      <c r="AI19" s="12">
        <v>1060289004</v>
      </c>
      <c r="AJ19" s="12">
        <v>1044990245</v>
      </c>
      <c r="AK19" s="12">
        <v>653717826</v>
      </c>
      <c r="AL19" s="12"/>
    </row>
    <row r="20" spans="1:38" s="13" customFormat="1" ht="12.75">
      <c r="A20" s="29" t="s">
        <v>95</v>
      </c>
      <c r="B20" s="61" t="s">
        <v>248</v>
      </c>
      <c r="C20" s="39" t="s">
        <v>249</v>
      </c>
      <c r="D20" s="78">
        <v>485489659</v>
      </c>
      <c r="E20" s="79">
        <v>62322354</v>
      </c>
      <c r="F20" s="80">
        <f t="shared" si="0"/>
        <v>547812013</v>
      </c>
      <c r="G20" s="78">
        <v>557402554</v>
      </c>
      <c r="H20" s="79">
        <v>62322354</v>
      </c>
      <c r="I20" s="81">
        <f t="shared" si="1"/>
        <v>619724908</v>
      </c>
      <c r="J20" s="78">
        <v>107726355</v>
      </c>
      <c r="K20" s="79">
        <v>864000</v>
      </c>
      <c r="L20" s="79">
        <f t="shared" si="2"/>
        <v>108590355</v>
      </c>
      <c r="M20" s="40">
        <f t="shared" si="3"/>
        <v>0.19822558181103633</v>
      </c>
      <c r="N20" s="106">
        <v>171767455</v>
      </c>
      <c r="O20" s="107">
        <v>15593002</v>
      </c>
      <c r="P20" s="108">
        <f t="shared" si="4"/>
        <v>187360457</v>
      </c>
      <c r="Q20" s="40">
        <f t="shared" si="5"/>
        <v>0.3420159699929764</v>
      </c>
      <c r="R20" s="106">
        <v>151220209</v>
      </c>
      <c r="S20" s="108">
        <v>48648076</v>
      </c>
      <c r="T20" s="108">
        <f t="shared" si="6"/>
        <v>199868285</v>
      </c>
      <c r="U20" s="40">
        <f t="shared" si="7"/>
        <v>0.3225112988358377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430714019</v>
      </c>
      <c r="AA20" s="79">
        <f t="shared" si="11"/>
        <v>65105078</v>
      </c>
      <c r="AB20" s="79">
        <f t="shared" si="12"/>
        <v>495819097</v>
      </c>
      <c r="AC20" s="40">
        <f t="shared" si="13"/>
        <v>0.8000632064315866</v>
      </c>
      <c r="AD20" s="78">
        <v>68968083</v>
      </c>
      <c r="AE20" s="79">
        <v>29350541</v>
      </c>
      <c r="AF20" s="79">
        <f t="shared" si="14"/>
        <v>98318624</v>
      </c>
      <c r="AG20" s="40">
        <f>IF(643850807=0,0,284574421/643850807)</f>
        <v>0.4419881405848731</v>
      </c>
      <c r="AH20" s="40">
        <f t="shared" si="15"/>
        <v>1.0328629192369494</v>
      </c>
      <c r="AI20" s="12">
        <v>654104964</v>
      </c>
      <c r="AJ20" s="12">
        <v>643850807</v>
      </c>
      <c r="AK20" s="12">
        <v>284574421</v>
      </c>
      <c r="AL20" s="12"/>
    </row>
    <row r="21" spans="1:38" s="13" customFormat="1" ht="12.75">
      <c r="A21" s="29" t="s">
        <v>95</v>
      </c>
      <c r="B21" s="61" t="s">
        <v>250</v>
      </c>
      <c r="C21" s="39" t="s">
        <v>251</v>
      </c>
      <c r="D21" s="78">
        <v>1152383856</v>
      </c>
      <c r="E21" s="79">
        <v>76008000</v>
      </c>
      <c r="F21" s="80">
        <f t="shared" si="0"/>
        <v>1228391856</v>
      </c>
      <c r="G21" s="78">
        <v>1295288931</v>
      </c>
      <c r="H21" s="79">
        <v>212947767</v>
      </c>
      <c r="I21" s="81">
        <f t="shared" si="1"/>
        <v>1508236698</v>
      </c>
      <c r="J21" s="78">
        <v>286477443</v>
      </c>
      <c r="K21" s="79">
        <v>2904298</v>
      </c>
      <c r="L21" s="79">
        <f t="shared" si="2"/>
        <v>289381741</v>
      </c>
      <c r="M21" s="40">
        <f t="shared" si="3"/>
        <v>0.2355777104728705</v>
      </c>
      <c r="N21" s="106">
        <v>349502562</v>
      </c>
      <c r="O21" s="107">
        <v>32028562</v>
      </c>
      <c r="P21" s="108">
        <f t="shared" si="4"/>
        <v>381531124</v>
      </c>
      <c r="Q21" s="40">
        <f t="shared" si="5"/>
        <v>0.31059398687514583</v>
      </c>
      <c r="R21" s="106">
        <v>163566719</v>
      </c>
      <c r="S21" s="108">
        <v>41014453</v>
      </c>
      <c r="T21" s="108">
        <f t="shared" si="6"/>
        <v>204581172</v>
      </c>
      <c r="U21" s="40">
        <f t="shared" si="7"/>
        <v>0.1356426164880388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799546724</v>
      </c>
      <c r="AA21" s="79">
        <f t="shared" si="11"/>
        <v>75947313</v>
      </c>
      <c r="AB21" s="79">
        <f t="shared" si="12"/>
        <v>875494037</v>
      </c>
      <c r="AC21" s="40">
        <f t="shared" si="13"/>
        <v>0.5804752252487626</v>
      </c>
      <c r="AD21" s="78">
        <v>262233332</v>
      </c>
      <c r="AE21" s="79">
        <v>31584143</v>
      </c>
      <c r="AF21" s="79">
        <f t="shared" si="14"/>
        <v>293817475</v>
      </c>
      <c r="AG21" s="40">
        <f>IF(1459018641=0,0,792721745/1459018641)</f>
        <v>0.5433253028601983</v>
      </c>
      <c r="AH21" s="40">
        <f t="shared" si="15"/>
        <v>-0.3037133955357829</v>
      </c>
      <c r="AI21" s="12">
        <v>1541173165</v>
      </c>
      <c r="AJ21" s="12">
        <v>1459018641</v>
      </c>
      <c r="AK21" s="12">
        <v>792721745</v>
      </c>
      <c r="AL21" s="12"/>
    </row>
    <row r="22" spans="1:38" s="13" customFormat="1" ht="12.75">
      <c r="A22" s="29" t="s">
        <v>114</v>
      </c>
      <c r="B22" s="61" t="s">
        <v>252</v>
      </c>
      <c r="C22" s="39" t="s">
        <v>253</v>
      </c>
      <c r="D22" s="78">
        <v>290532825</v>
      </c>
      <c r="E22" s="79">
        <v>20100000</v>
      </c>
      <c r="F22" s="80">
        <f t="shared" si="0"/>
        <v>310632825</v>
      </c>
      <c r="G22" s="78">
        <v>319005812</v>
      </c>
      <c r="H22" s="79">
        <v>10200000</v>
      </c>
      <c r="I22" s="81">
        <f t="shared" si="1"/>
        <v>329205812</v>
      </c>
      <c r="J22" s="78">
        <v>73707482</v>
      </c>
      <c r="K22" s="79">
        <v>0</v>
      </c>
      <c r="L22" s="79">
        <f t="shared" si="2"/>
        <v>73707482</v>
      </c>
      <c r="M22" s="40">
        <f t="shared" si="3"/>
        <v>0.23728169101253224</v>
      </c>
      <c r="N22" s="106">
        <v>74276658</v>
      </c>
      <c r="O22" s="107">
        <v>1695191</v>
      </c>
      <c r="P22" s="108">
        <f t="shared" si="4"/>
        <v>75971849</v>
      </c>
      <c r="Q22" s="40">
        <f t="shared" si="5"/>
        <v>0.24457122005699172</v>
      </c>
      <c r="R22" s="106">
        <v>68243674</v>
      </c>
      <c r="S22" s="108">
        <v>6200338</v>
      </c>
      <c r="T22" s="108">
        <f t="shared" si="6"/>
        <v>74444012</v>
      </c>
      <c r="U22" s="40">
        <f t="shared" si="7"/>
        <v>0.22613213159189305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216227814</v>
      </c>
      <c r="AA22" s="79">
        <f t="shared" si="11"/>
        <v>7895529</v>
      </c>
      <c r="AB22" s="79">
        <f t="shared" si="12"/>
        <v>224123343</v>
      </c>
      <c r="AC22" s="40">
        <f t="shared" si="13"/>
        <v>0.6808000795563112</v>
      </c>
      <c r="AD22" s="78">
        <v>45843158</v>
      </c>
      <c r="AE22" s="79">
        <v>0</v>
      </c>
      <c r="AF22" s="79">
        <f t="shared" si="14"/>
        <v>45843158</v>
      </c>
      <c r="AG22" s="40">
        <f>IF(282498231=0,0,135673838/282498231)</f>
        <v>0.4802643808413795</v>
      </c>
      <c r="AH22" s="40">
        <f t="shared" si="15"/>
        <v>0.6238848990289891</v>
      </c>
      <c r="AI22" s="12">
        <v>287986968</v>
      </c>
      <c r="AJ22" s="12">
        <v>282498231</v>
      </c>
      <c r="AK22" s="12">
        <v>135673838</v>
      </c>
      <c r="AL22" s="12"/>
    </row>
    <row r="23" spans="1:38" s="57" customFormat="1" ht="12.75">
      <c r="A23" s="62"/>
      <c r="B23" s="63" t="s">
        <v>254</v>
      </c>
      <c r="C23" s="32"/>
      <c r="D23" s="82">
        <f>SUM(D18:D22)</f>
        <v>5479304614</v>
      </c>
      <c r="E23" s="83">
        <f>SUM(E18:E22)</f>
        <v>554887503</v>
      </c>
      <c r="F23" s="91">
        <f t="shared" si="0"/>
        <v>6034192117</v>
      </c>
      <c r="G23" s="82">
        <f>SUM(G18:G22)</f>
        <v>5759435621</v>
      </c>
      <c r="H23" s="83">
        <f>SUM(H18:H22)</f>
        <v>794810392</v>
      </c>
      <c r="I23" s="84">
        <f t="shared" si="1"/>
        <v>6554246013</v>
      </c>
      <c r="J23" s="82">
        <f>SUM(J18:J22)</f>
        <v>1275029227</v>
      </c>
      <c r="K23" s="83">
        <f>SUM(K18:K22)</f>
        <v>44383309</v>
      </c>
      <c r="L23" s="83">
        <f t="shared" si="2"/>
        <v>1319412536</v>
      </c>
      <c r="M23" s="44">
        <f t="shared" si="3"/>
        <v>0.21865603719888987</v>
      </c>
      <c r="N23" s="112">
        <f>SUM(N18:N22)</f>
        <v>1369395681</v>
      </c>
      <c r="O23" s="113">
        <f>SUM(O18:O22)</f>
        <v>174132628</v>
      </c>
      <c r="P23" s="114">
        <f t="shared" si="4"/>
        <v>1543528309</v>
      </c>
      <c r="Q23" s="44">
        <f t="shared" si="5"/>
        <v>0.2557970112770276</v>
      </c>
      <c r="R23" s="112">
        <f>SUM(R18:R22)</f>
        <v>1175216876</v>
      </c>
      <c r="S23" s="114">
        <f>SUM(S18:S22)</f>
        <v>185576403</v>
      </c>
      <c r="T23" s="114">
        <f t="shared" si="6"/>
        <v>1360793279</v>
      </c>
      <c r="U23" s="44">
        <f t="shared" si="7"/>
        <v>0.20762011012417578</v>
      </c>
      <c r="V23" s="112">
        <f>SUM(V18:V22)</f>
        <v>0</v>
      </c>
      <c r="W23" s="114">
        <f>SUM(W18:W22)</f>
        <v>0</v>
      </c>
      <c r="X23" s="114">
        <f t="shared" si="8"/>
        <v>0</v>
      </c>
      <c r="Y23" s="44">
        <f t="shared" si="9"/>
        <v>0</v>
      </c>
      <c r="Z23" s="82">
        <f t="shared" si="10"/>
        <v>3819641784</v>
      </c>
      <c r="AA23" s="83">
        <f t="shared" si="11"/>
        <v>404092340</v>
      </c>
      <c r="AB23" s="83">
        <f t="shared" si="12"/>
        <v>4223734124</v>
      </c>
      <c r="AC23" s="44">
        <f t="shared" si="13"/>
        <v>0.6444271569334515</v>
      </c>
      <c r="AD23" s="82">
        <f>SUM(AD18:AD22)</f>
        <v>1169778124</v>
      </c>
      <c r="AE23" s="83">
        <f>SUM(AE18:AE22)</f>
        <v>145855118</v>
      </c>
      <c r="AF23" s="83">
        <f t="shared" si="14"/>
        <v>1315633242</v>
      </c>
      <c r="AG23" s="44">
        <f>IF(282498231=0,0,135673838/282498231)</f>
        <v>0.4802643808413795</v>
      </c>
      <c r="AH23" s="44">
        <f t="shared" si="15"/>
        <v>0.03432570381951483</v>
      </c>
      <c r="AI23" s="64">
        <f>SUM(AI18:AI22)</f>
        <v>6397957636</v>
      </c>
      <c r="AJ23" s="64">
        <f>SUM(AJ18:AJ22)</f>
        <v>6339574704</v>
      </c>
      <c r="AK23" s="64">
        <f>SUM(AK18:AK22)</f>
        <v>3636139203</v>
      </c>
      <c r="AL23" s="64"/>
    </row>
    <row r="24" spans="1:38" s="57" customFormat="1" ht="12.75">
      <c r="A24" s="62"/>
      <c r="B24" s="63" t="s">
        <v>255</v>
      </c>
      <c r="C24" s="32"/>
      <c r="D24" s="82">
        <f>SUM(D9:D11,D13:D16,D18:D22)</f>
        <v>110862139226</v>
      </c>
      <c r="E24" s="83">
        <f>SUM(E9:E11,E13:E16,E18:E22)</f>
        <v>19471356372</v>
      </c>
      <c r="F24" s="91">
        <f t="shared" si="0"/>
        <v>130333495598</v>
      </c>
      <c r="G24" s="82">
        <f>SUM(G9:G11,G13:G16,G18:G22)</f>
        <v>112867902990</v>
      </c>
      <c r="H24" s="83">
        <f>SUM(H9:H11,H13:H16,H18:H22)</f>
        <v>19244069537</v>
      </c>
      <c r="I24" s="84">
        <f t="shared" si="1"/>
        <v>132111972527</v>
      </c>
      <c r="J24" s="82">
        <f>SUM(J9:J11,J13:J16,J18:J22)</f>
        <v>25824300283</v>
      </c>
      <c r="K24" s="83">
        <f>SUM(K9:K11,K13:K16,K18:K22)</f>
        <v>1755904819</v>
      </c>
      <c r="L24" s="83">
        <f t="shared" si="2"/>
        <v>27580205102</v>
      </c>
      <c r="M24" s="44">
        <f t="shared" si="3"/>
        <v>0.21161256341246498</v>
      </c>
      <c r="N24" s="112">
        <f>SUM(N9:N11,N13:N16,N18:N22)</f>
        <v>27845642483</v>
      </c>
      <c r="O24" s="113">
        <f>SUM(O9:O11,O13:O16,O18:O22)</f>
        <v>4016448745</v>
      </c>
      <c r="P24" s="114">
        <f t="shared" si="4"/>
        <v>31862091228</v>
      </c>
      <c r="Q24" s="44">
        <f t="shared" si="5"/>
        <v>0.244465868745478</v>
      </c>
      <c r="R24" s="112">
        <f>SUM(R9:R11,R13:R16,R18:R22)</f>
        <v>24618885802</v>
      </c>
      <c r="S24" s="114">
        <f>SUM(S9:S11,S13:S16,S18:S22)</f>
        <v>2800297268</v>
      </c>
      <c r="T24" s="114">
        <f t="shared" si="6"/>
        <v>27419183070</v>
      </c>
      <c r="U24" s="44">
        <f t="shared" si="7"/>
        <v>0.20754502824788484</v>
      </c>
      <c r="V24" s="112">
        <f>SUM(V9:V11,V13:V16,V18:V22)</f>
        <v>0</v>
      </c>
      <c r="W24" s="114">
        <f>SUM(W9:W11,W13:W16,W18:W22)</f>
        <v>0</v>
      </c>
      <c r="X24" s="114">
        <f t="shared" si="8"/>
        <v>0</v>
      </c>
      <c r="Y24" s="44">
        <f t="shared" si="9"/>
        <v>0</v>
      </c>
      <c r="Z24" s="82">
        <f t="shared" si="10"/>
        <v>78288828568</v>
      </c>
      <c r="AA24" s="83">
        <f t="shared" si="11"/>
        <v>8572650832</v>
      </c>
      <c r="AB24" s="83">
        <f t="shared" si="12"/>
        <v>86861479400</v>
      </c>
      <c r="AC24" s="44">
        <f t="shared" si="13"/>
        <v>0.6574837824198555</v>
      </c>
      <c r="AD24" s="82">
        <f>SUM(AD9:AD11,AD13:AD16,AD18:AD22)</f>
        <v>22536850988</v>
      </c>
      <c r="AE24" s="83">
        <f>SUM(AE9:AE11,AE13:AE16,AE18:AE22)</f>
        <v>3213956699</v>
      </c>
      <c r="AF24" s="83">
        <f t="shared" si="14"/>
        <v>25750807687</v>
      </c>
      <c r="AG24" s="44">
        <f>IF(282498231=0,0,135673838/282498231)</f>
        <v>0.4802643808413795</v>
      </c>
      <c r="AH24" s="44">
        <f t="shared" si="15"/>
        <v>0.06478924479880521</v>
      </c>
      <c r="AI24" s="64">
        <f>SUM(AI9:AI11,AI13:AI16,AI18:AI22)</f>
        <v>119421157334</v>
      </c>
      <c r="AJ24" s="64">
        <f>SUM(AJ9:AJ11,AJ13:AJ16,AJ18:AJ22)</f>
        <v>123217867127</v>
      </c>
      <c r="AK24" s="64">
        <f>SUM(AK9:AK11,AK13:AK16,AK18:AK22)</f>
        <v>78234739508</v>
      </c>
      <c r="AL24" s="64"/>
    </row>
    <row r="25" spans="1:38" s="13" customFormat="1" ht="12.75">
      <c r="A25" s="65"/>
      <c r="B25" s="66"/>
      <c r="C25" s="67"/>
      <c r="D25" s="94"/>
      <c r="E25" s="94"/>
      <c r="F25" s="95"/>
      <c r="G25" s="96"/>
      <c r="H25" s="94"/>
      <c r="I25" s="97"/>
      <c r="J25" s="96"/>
      <c r="K25" s="98"/>
      <c r="L25" s="94"/>
      <c r="M25" s="71"/>
      <c r="N25" s="96"/>
      <c r="O25" s="98"/>
      <c r="P25" s="94"/>
      <c r="Q25" s="71"/>
      <c r="R25" s="96"/>
      <c r="S25" s="98"/>
      <c r="T25" s="94"/>
      <c r="U25" s="71"/>
      <c r="V25" s="96"/>
      <c r="W25" s="98"/>
      <c r="X25" s="94"/>
      <c r="Y25" s="71"/>
      <c r="Z25" s="96"/>
      <c r="AA25" s="98"/>
      <c r="AB25" s="94"/>
      <c r="AC25" s="71"/>
      <c r="AD25" s="96"/>
      <c r="AE25" s="94"/>
      <c r="AF25" s="94"/>
      <c r="AG25" s="71"/>
      <c r="AH25" s="71"/>
      <c r="AI25" s="12"/>
      <c r="AJ25" s="12"/>
      <c r="AK25" s="12"/>
      <c r="AL25" s="12"/>
    </row>
    <row r="26" spans="1:38" s="13" customFormat="1" ht="12.75">
      <c r="A26" s="12"/>
      <c r="B26" s="58"/>
      <c r="C26" s="12"/>
      <c r="D26" s="89"/>
      <c r="E26" s="89"/>
      <c r="F26" s="89"/>
      <c r="G26" s="89"/>
      <c r="H26" s="89"/>
      <c r="I26" s="89"/>
      <c r="J26" s="89"/>
      <c r="K26" s="89"/>
      <c r="L26" s="89"/>
      <c r="M26" s="12"/>
      <c r="N26" s="89"/>
      <c r="O26" s="89"/>
      <c r="P26" s="89"/>
      <c r="Q26" s="12"/>
      <c r="R26" s="89"/>
      <c r="S26" s="89"/>
      <c r="T26" s="89"/>
      <c r="U26" s="12"/>
      <c r="V26" s="89"/>
      <c r="W26" s="89"/>
      <c r="X26" s="89"/>
      <c r="Y26" s="12"/>
      <c r="Z26" s="89"/>
      <c r="AA26" s="89"/>
      <c r="AB26" s="89"/>
      <c r="AC26" s="12"/>
      <c r="AD26" s="89"/>
      <c r="AE26" s="89"/>
      <c r="AF26" s="89"/>
      <c r="AG26" s="12"/>
      <c r="AH26" s="12"/>
      <c r="AI26" s="12"/>
      <c r="AJ26" s="12"/>
      <c r="AK26" s="12"/>
      <c r="AL26" s="12"/>
    </row>
    <row r="27" spans="1:38" ht="12.75">
      <c r="A27" s="2"/>
      <c r="B27" s="2"/>
      <c r="C27" s="2"/>
      <c r="D27" s="90"/>
      <c r="E27" s="90"/>
      <c r="F27" s="90"/>
      <c r="G27" s="90"/>
      <c r="H27" s="90"/>
      <c r="I27" s="90"/>
      <c r="J27" s="90"/>
      <c r="K27" s="90"/>
      <c r="L27" s="90"/>
      <c r="M27" s="2"/>
      <c r="N27" s="90"/>
      <c r="O27" s="90"/>
      <c r="P27" s="90"/>
      <c r="Q27" s="2"/>
      <c r="R27" s="90"/>
      <c r="S27" s="90"/>
      <c r="T27" s="90"/>
      <c r="U27" s="2"/>
      <c r="V27" s="90"/>
      <c r="W27" s="90"/>
      <c r="X27" s="90"/>
      <c r="Y27" s="2"/>
      <c r="Z27" s="90"/>
      <c r="AA27" s="90"/>
      <c r="AB27" s="90"/>
      <c r="AC27" s="2"/>
      <c r="AD27" s="90"/>
      <c r="AE27" s="90"/>
      <c r="AF27" s="90"/>
      <c r="AG27" s="2"/>
      <c r="AH27" s="2"/>
      <c r="AI27" s="2"/>
      <c r="AJ27" s="2"/>
      <c r="AK27" s="2"/>
      <c r="AL27" s="2"/>
    </row>
    <row r="28" spans="1:38" ht="12.75">
      <c r="A28" s="2"/>
      <c r="B28" s="2"/>
      <c r="C28" s="2"/>
      <c r="D28" s="90"/>
      <c r="E28" s="90"/>
      <c r="F28" s="90"/>
      <c r="G28" s="90"/>
      <c r="H28" s="90"/>
      <c r="I28" s="90"/>
      <c r="J28" s="90"/>
      <c r="K28" s="90"/>
      <c r="L28" s="90"/>
      <c r="M28" s="2"/>
      <c r="N28" s="90"/>
      <c r="O28" s="90"/>
      <c r="P28" s="90"/>
      <c r="Q28" s="2"/>
      <c r="R28" s="90"/>
      <c r="S28" s="90"/>
      <c r="T28" s="90"/>
      <c r="U28" s="2"/>
      <c r="V28" s="90"/>
      <c r="W28" s="90"/>
      <c r="X28" s="90"/>
      <c r="Y28" s="2"/>
      <c r="Z28" s="90"/>
      <c r="AA28" s="90"/>
      <c r="AB28" s="90"/>
      <c r="AC28" s="2"/>
      <c r="AD28" s="90"/>
      <c r="AE28" s="90"/>
      <c r="AF28" s="90"/>
      <c r="AG28" s="2"/>
      <c r="AH28" s="2"/>
      <c r="AI28" s="2"/>
      <c r="AJ28" s="2"/>
      <c r="AK28" s="2"/>
      <c r="AL28" s="2"/>
    </row>
    <row r="29" spans="1:38" ht="12.75">
      <c r="A29" s="2"/>
      <c r="B29" s="2"/>
      <c r="C29" s="2"/>
      <c r="D29" s="90"/>
      <c r="E29" s="90"/>
      <c r="F29" s="90"/>
      <c r="G29" s="90"/>
      <c r="H29" s="90"/>
      <c r="I29" s="90"/>
      <c r="J29" s="90"/>
      <c r="K29" s="90"/>
      <c r="L29" s="90"/>
      <c r="M29" s="2"/>
      <c r="N29" s="90"/>
      <c r="O29" s="90"/>
      <c r="P29" s="90"/>
      <c r="Q29" s="2"/>
      <c r="R29" s="90"/>
      <c r="S29" s="90"/>
      <c r="T29" s="90"/>
      <c r="U29" s="2"/>
      <c r="V29" s="90"/>
      <c r="W29" s="90"/>
      <c r="X29" s="90"/>
      <c r="Y29" s="2"/>
      <c r="Z29" s="90"/>
      <c r="AA29" s="90"/>
      <c r="AB29" s="90"/>
      <c r="AC29" s="2"/>
      <c r="AD29" s="90"/>
      <c r="AE29" s="90"/>
      <c r="AF29" s="90"/>
      <c r="AG29" s="2"/>
      <c r="AH29" s="2"/>
      <c r="AI29" s="2"/>
      <c r="AJ29" s="2"/>
      <c r="AK29" s="2"/>
      <c r="AL29" s="2"/>
    </row>
    <row r="30" spans="1:38" ht="12.75">
      <c r="A30" s="2"/>
      <c r="B30" s="2"/>
      <c r="C30" s="2"/>
      <c r="D30" s="90"/>
      <c r="E30" s="90"/>
      <c r="F30" s="90"/>
      <c r="G30" s="90"/>
      <c r="H30" s="90"/>
      <c r="I30" s="90"/>
      <c r="J30" s="90"/>
      <c r="K30" s="90"/>
      <c r="L30" s="90"/>
      <c r="M30" s="2"/>
      <c r="N30" s="90"/>
      <c r="O30" s="90"/>
      <c r="P30" s="90"/>
      <c r="Q30" s="2"/>
      <c r="R30" s="90"/>
      <c r="S30" s="90"/>
      <c r="T30" s="90"/>
      <c r="U30" s="2"/>
      <c r="V30" s="90"/>
      <c r="W30" s="90"/>
      <c r="X30" s="90"/>
      <c r="Y30" s="2"/>
      <c r="Z30" s="90"/>
      <c r="AA30" s="90"/>
      <c r="AB30" s="90"/>
      <c r="AC30" s="2"/>
      <c r="AD30" s="90"/>
      <c r="AE30" s="90"/>
      <c r="AF30" s="90"/>
      <c r="AG30" s="2"/>
      <c r="AH30" s="2"/>
      <c r="AI30" s="2"/>
      <c r="AJ30" s="2"/>
      <c r="AK30" s="2"/>
      <c r="AL30" s="2"/>
    </row>
    <row r="31" spans="1:38" ht="12.75">
      <c r="A31" s="2"/>
      <c r="B31" s="2"/>
      <c r="C31" s="2"/>
      <c r="D31" s="90"/>
      <c r="E31" s="90"/>
      <c r="F31" s="90"/>
      <c r="G31" s="90"/>
      <c r="H31" s="90"/>
      <c r="I31" s="90"/>
      <c r="J31" s="90"/>
      <c r="K31" s="90"/>
      <c r="L31" s="90"/>
      <c r="M31" s="2"/>
      <c r="N31" s="90"/>
      <c r="O31" s="90"/>
      <c r="P31" s="90"/>
      <c r="Q31" s="2"/>
      <c r="R31" s="90"/>
      <c r="S31" s="90"/>
      <c r="T31" s="90"/>
      <c r="U31" s="2"/>
      <c r="V31" s="90"/>
      <c r="W31" s="90"/>
      <c r="X31" s="90"/>
      <c r="Y31" s="2"/>
      <c r="Z31" s="90"/>
      <c r="AA31" s="90"/>
      <c r="AB31" s="90"/>
      <c r="AC31" s="2"/>
      <c r="AD31" s="90"/>
      <c r="AE31" s="90"/>
      <c r="AF31" s="90"/>
      <c r="AG31" s="2"/>
      <c r="AH31" s="2"/>
      <c r="AI31" s="2"/>
      <c r="AJ31" s="2"/>
      <c r="AK31" s="2"/>
      <c r="AL31" s="2"/>
    </row>
    <row r="32" spans="1:38" ht="12.75">
      <c r="A32" s="2"/>
      <c r="B32" s="2"/>
      <c r="C32" s="2"/>
      <c r="D32" s="90"/>
      <c r="E32" s="90"/>
      <c r="F32" s="90"/>
      <c r="G32" s="90"/>
      <c r="H32" s="90"/>
      <c r="I32" s="90"/>
      <c r="J32" s="90"/>
      <c r="K32" s="90"/>
      <c r="L32" s="90"/>
      <c r="M32" s="2"/>
      <c r="N32" s="90"/>
      <c r="O32" s="90"/>
      <c r="P32" s="90"/>
      <c r="Q32" s="2"/>
      <c r="R32" s="90"/>
      <c r="S32" s="90"/>
      <c r="T32" s="90"/>
      <c r="U32" s="2"/>
      <c r="V32" s="90"/>
      <c r="W32" s="90"/>
      <c r="X32" s="90"/>
      <c r="Y32" s="2"/>
      <c r="Z32" s="90"/>
      <c r="AA32" s="90"/>
      <c r="AB32" s="90"/>
      <c r="AC32" s="2"/>
      <c r="AD32" s="90"/>
      <c r="AE32" s="90"/>
      <c r="AF32" s="90"/>
      <c r="AG32" s="2"/>
      <c r="AH32" s="2"/>
      <c r="AI32" s="2"/>
      <c r="AJ32" s="2"/>
      <c r="AK32" s="2"/>
      <c r="AL32" s="2"/>
    </row>
    <row r="33" spans="1:38" ht="12.75">
      <c r="A33" s="2"/>
      <c r="B33" s="2"/>
      <c r="C33" s="2"/>
      <c r="D33" s="90"/>
      <c r="E33" s="90"/>
      <c r="F33" s="90"/>
      <c r="G33" s="90"/>
      <c r="H33" s="90"/>
      <c r="I33" s="90"/>
      <c r="J33" s="90"/>
      <c r="K33" s="90"/>
      <c r="L33" s="90"/>
      <c r="M33" s="2"/>
      <c r="N33" s="90"/>
      <c r="O33" s="90"/>
      <c r="P33" s="90"/>
      <c r="Q33" s="2"/>
      <c r="R33" s="90"/>
      <c r="S33" s="90"/>
      <c r="T33" s="90"/>
      <c r="U33" s="2"/>
      <c r="V33" s="90"/>
      <c r="W33" s="90"/>
      <c r="X33" s="90"/>
      <c r="Y33" s="2"/>
      <c r="Z33" s="90"/>
      <c r="AA33" s="90"/>
      <c r="AB33" s="90"/>
      <c r="AC33" s="2"/>
      <c r="AD33" s="90"/>
      <c r="AE33" s="90"/>
      <c r="AF33" s="90"/>
      <c r="AG33" s="2"/>
      <c r="AH33" s="2"/>
      <c r="AI33" s="2"/>
      <c r="AJ33" s="2"/>
      <c r="AK33" s="2"/>
      <c r="AL33" s="2"/>
    </row>
    <row r="34" spans="1:38" ht="12.75">
      <c r="A34" s="2"/>
      <c r="B34" s="2"/>
      <c r="C34" s="2"/>
      <c r="D34" s="90"/>
      <c r="E34" s="90"/>
      <c r="F34" s="90"/>
      <c r="G34" s="90"/>
      <c r="H34" s="90"/>
      <c r="I34" s="90"/>
      <c r="J34" s="90"/>
      <c r="K34" s="90"/>
      <c r="L34" s="90"/>
      <c r="M34" s="2"/>
      <c r="N34" s="90"/>
      <c r="O34" s="90"/>
      <c r="P34" s="90"/>
      <c r="Q34" s="2"/>
      <c r="R34" s="90"/>
      <c r="S34" s="90"/>
      <c r="T34" s="90"/>
      <c r="U34" s="2"/>
      <c r="V34" s="90"/>
      <c r="W34" s="90"/>
      <c r="X34" s="90"/>
      <c r="Y34" s="2"/>
      <c r="Z34" s="90"/>
      <c r="AA34" s="90"/>
      <c r="AB34" s="90"/>
      <c r="AC34" s="2"/>
      <c r="AD34" s="90"/>
      <c r="AE34" s="90"/>
      <c r="AF34" s="90"/>
      <c r="AG34" s="2"/>
      <c r="AH34" s="2"/>
      <c r="AI34" s="2"/>
      <c r="AJ34" s="2"/>
      <c r="AK34" s="2"/>
      <c r="AL34" s="2"/>
    </row>
    <row r="35" spans="1:38" ht="12.75">
      <c r="A35" s="2"/>
      <c r="B35" s="2"/>
      <c r="C35" s="2"/>
      <c r="D35" s="90"/>
      <c r="E35" s="90"/>
      <c r="F35" s="90"/>
      <c r="G35" s="90"/>
      <c r="H35" s="90"/>
      <c r="I35" s="90"/>
      <c r="J35" s="90"/>
      <c r="K35" s="90"/>
      <c r="L35" s="90"/>
      <c r="M35" s="2"/>
      <c r="N35" s="90"/>
      <c r="O35" s="90"/>
      <c r="P35" s="90"/>
      <c r="Q35" s="2"/>
      <c r="R35" s="90"/>
      <c r="S35" s="90"/>
      <c r="T35" s="90"/>
      <c r="U35" s="2"/>
      <c r="V35" s="90"/>
      <c r="W35" s="90"/>
      <c r="X35" s="90"/>
      <c r="Y35" s="2"/>
      <c r="Z35" s="90"/>
      <c r="AA35" s="90"/>
      <c r="AB35" s="90"/>
      <c r="AC35" s="2"/>
      <c r="AD35" s="90"/>
      <c r="AE35" s="90"/>
      <c r="AF35" s="90"/>
      <c r="AG35" s="2"/>
      <c r="AH35" s="2"/>
      <c r="AI35" s="2"/>
      <c r="AJ35" s="2"/>
      <c r="AK35" s="2"/>
      <c r="AL35" s="2"/>
    </row>
    <row r="36" spans="1:38" ht="12.75">
      <c r="A36" s="2"/>
      <c r="B36" s="2"/>
      <c r="C36" s="2"/>
      <c r="D36" s="90"/>
      <c r="E36" s="90"/>
      <c r="F36" s="90"/>
      <c r="G36" s="90"/>
      <c r="H36" s="90"/>
      <c r="I36" s="90"/>
      <c r="J36" s="90"/>
      <c r="K36" s="90"/>
      <c r="L36" s="90"/>
      <c r="M36" s="2"/>
      <c r="N36" s="90"/>
      <c r="O36" s="90"/>
      <c r="P36" s="90"/>
      <c r="Q36" s="2"/>
      <c r="R36" s="90"/>
      <c r="S36" s="90"/>
      <c r="T36" s="90"/>
      <c r="U36" s="2"/>
      <c r="V36" s="90"/>
      <c r="W36" s="90"/>
      <c r="X36" s="90"/>
      <c r="Y36" s="2"/>
      <c r="Z36" s="90"/>
      <c r="AA36" s="90"/>
      <c r="AB36" s="90"/>
      <c r="AC36" s="2"/>
      <c r="AD36" s="90"/>
      <c r="AE36" s="90"/>
      <c r="AF36" s="90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0"/>
      <c r="E37" s="90"/>
      <c r="F37" s="90"/>
      <c r="G37" s="90"/>
      <c r="H37" s="90"/>
      <c r="I37" s="90"/>
      <c r="J37" s="90"/>
      <c r="K37" s="90"/>
      <c r="L37" s="90"/>
      <c r="M37" s="2"/>
      <c r="N37" s="90"/>
      <c r="O37" s="90"/>
      <c r="P37" s="90"/>
      <c r="Q37" s="2"/>
      <c r="R37" s="90"/>
      <c r="S37" s="90"/>
      <c r="T37" s="90"/>
      <c r="U37" s="2"/>
      <c r="V37" s="90"/>
      <c r="W37" s="90"/>
      <c r="X37" s="90"/>
      <c r="Y37" s="2"/>
      <c r="Z37" s="90"/>
      <c r="AA37" s="90"/>
      <c r="AB37" s="90"/>
      <c r="AC37" s="2"/>
      <c r="AD37" s="90"/>
      <c r="AE37" s="90"/>
      <c r="AF37" s="90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0"/>
      <c r="E38" s="90"/>
      <c r="F38" s="90"/>
      <c r="G38" s="90"/>
      <c r="H38" s="90"/>
      <c r="I38" s="90"/>
      <c r="J38" s="90"/>
      <c r="K38" s="90"/>
      <c r="L38" s="90"/>
      <c r="M38" s="2"/>
      <c r="N38" s="90"/>
      <c r="O38" s="90"/>
      <c r="P38" s="90"/>
      <c r="Q38" s="2"/>
      <c r="R38" s="90"/>
      <c r="S38" s="90"/>
      <c r="T38" s="90"/>
      <c r="U38" s="2"/>
      <c r="V38" s="90"/>
      <c r="W38" s="90"/>
      <c r="X38" s="90"/>
      <c r="Y38" s="2"/>
      <c r="Z38" s="90"/>
      <c r="AA38" s="90"/>
      <c r="AB38" s="90"/>
      <c r="AC38" s="2"/>
      <c r="AD38" s="90"/>
      <c r="AE38" s="90"/>
      <c r="AF38" s="90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26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93</v>
      </c>
      <c r="B9" s="61" t="s">
        <v>45</v>
      </c>
      <c r="C9" s="39" t="s">
        <v>46</v>
      </c>
      <c r="D9" s="78">
        <v>29436059051</v>
      </c>
      <c r="E9" s="79">
        <v>6046925999</v>
      </c>
      <c r="F9" s="80">
        <f>$D9+$E9</f>
        <v>35482985050</v>
      </c>
      <c r="G9" s="78">
        <v>29532140428</v>
      </c>
      <c r="H9" s="79">
        <v>6038935000</v>
      </c>
      <c r="I9" s="81">
        <f>$G9+$H9</f>
        <v>35571075428</v>
      </c>
      <c r="J9" s="78">
        <v>6434315745</v>
      </c>
      <c r="K9" s="79">
        <v>823616000</v>
      </c>
      <c r="L9" s="79">
        <f>$J9+$K9</f>
        <v>7257931745</v>
      </c>
      <c r="M9" s="40">
        <f>IF($F9=0,0,$L9/$F9)</f>
        <v>0.20454681968759558</v>
      </c>
      <c r="N9" s="106">
        <v>6879287497</v>
      </c>
      <c r="O9" s="107">
        <v>1173076000</v>
      </c>
      <c r="P9" s="108">
        <f>$N9+$O9</f>
        <v>8052363497</v>
      </c>
      <c r="Q9" s="40">
        <f>IF($F9=0,0,$P9/$F9)</f>
        <v>0.22693590986364887</v>
      </c>
      <c r="R9" s="106">
        <v>6536462972</v>
      </c>
      <c r="S9" s="108">
        <v>1101745000</v>
      </c>
      <c r="T9" s="108">
        <f>$R9+$S9</f>
        <v>7638207972</v>
      </c>
      <c r="U9" s="40">
        <f>IF($I9=0,0,$T9/$I9)</f>
        <v>0.21473086995811028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19850066214</v>
      </c>
      <c r="AA9" s="79">
        <f>$K9+$O9+$S9</f>
        <v>3098437000</v>
      </c>
      <c r="AB9" s="79">
        <f>$Z9+$AA9</f>
        <v>22948503214</v>
      </c>
      <c r="AC9" s="40">
        <f>IF($I9=0,0,$AB9/$I9)</f>
        <v>0.6451450493941473</v>
      </c>
      <c r="AD9" s="78">
        <v>6060308282</v>
      </c>
      <c r="AE9" s="79">
        <v>1202070000</v>
      </c>
      <c r="AF9" s="79">
        <f>$AD9+$AE9</f>
        <v>7262378282</v>
      </c>
      <c r="AG9" s="40">
        <f>IF(32421355172=0,0,22945609241/32421355172)</f>
        <v>0.7077313430999478</v>
      </c>
      <c r="AH9" s="40">
        <f>IF($AF9=0,0,(($T9/$AF9)-1))</f>
        <v>0.05175022222837167</v>
      </c>
      <c r="AI9" s="12">
        <v>32564307219</v>
      </c>
      <c r="AJ9" s="12">
        <v>32421355172</v>
      </c>
      <c r="AK9" s="12">
        <v>22945609241</v>
      </c>
      <c r="AL9" s="12"/>
    </row>
    <row r="10" spans="1:38" s="57" customFormat="1" ht="12.75">
      <c r="A10" s="62"/>
      <c r="B10" s="63" t="s">
        <v>94</v>
      </c>
      <c r="C10" s="32"/>
      <c r="D10" s="82">
        <f>D9</f>
        <v>29436059051</v>
      </c>
      <c r="E10" s="83">
        <f>E9</f>
        <v>6046925999</v>
      </c>
      <c r="F10" s="84">
        <f aca="true" t="shared" si="0" ref="F10:F41">$D10+$E10</f>
        <v>35482985050</v>
      </c>
      <c r="G10" s="82">
        <f>G9</f>
        <v>29532140428</v>
      </c>
      <c r="H10" s="83">
        <f>H9</f>
        <v>6038935000</v>
      </c>
      <c r="I10" s="84">
        <f aca="true" t="shared" si="1" ref="I10:I41">$G10+$H10</f>
        <v>35571075428</v>
      </c>
      <c r="J10" s="82">
        <f>J9</f>
        <v>6434315745</v>
      </c>
      <c r="K10" s="83">
        <f>K9</f>
        <v>823616000</v>
      </c>
      <c r="L10" s="83">
        <f aca="true" t="shared" si="2" ref="L10:L41">$J10+$K10</f>
        <v>7257931745</v>
      </c>
      <c r="M10" s="44">
        <f aca="true" t="shared" si="3" ref="M10:M41">IF($F10=0,0,$L10/$F10)</f>
        <v>0.20454681968759558</v>
      </c>
      <c r="N10" s="112">
        <f>N9</f>
        <v>6879287497</v>
      </c>
      <c r="O10" s="113">
        <f>O9</f>
        <v>1173076000</v>
      </c>
      <c r="P10" s="114">
        <f aca="true" t="shared" si="4" ref="P10:P41">$N10+$O10</f>
        <v>8052363497</v>
      </c>
      <c r="Q10" s="44">
        <f aca="true" t="shared" si="5" ref="Q10:Q41">IF($F10=0,0,$P10/$F10)</f>
        <v>0.22693590986364887</v>
      </c>
      <c r="R10" s="112">
        <f>R9</f>
        <v>6536462972</v>
      </c>
      <c r="S10" s="114">
        <f>S9</f>
        <v>1101745000</v>
      </c>
      <c r="T10" s="114">
        <f aca="true" t="shared" si="6" ref="T10:T41">$R10+$S10</f>
        <v>7638207972</v>
      </c>
      <c r="U10" s="44">
        <f aca="true" t="shared" si="7" ref="U10:U41">IF($I10=0,0,$T10/$I10)</f>
        <v>0.21473086995811028</v>
      </c>
      <c r="V10" s="112">
        <f>V9</f>
        <v>0</v>
      </c>
      <c r="W10" s="114">
        <f>W9</f>
        <v>0</v>
      </c>
      <c r="X10" s="114">
        <f aca="true" t="shared" si="8" ref="X10:X41">$V10+$W10</f>
        <v>0</v>
      </c>
      <c r="Y10" s="44">
        <f aca="true" t="shared" si="9" ref="Y10:Y41">IF($I10=0,0,$X10/$I10)</f>
        <v>0</v>
      </c>
      <c r="Z10" s="82">
        <f aca="true" t="shared" si="10" ref="Z10:Z41">$J10+$N10+$R10</f>
        <v>19850066214</v>
      </c>
      <c r="AA10" s="83">
        <f aca="true" t="shared" si="11" ref="AA10:AA41">$K10+$O10+$S10</f>
        <v>3098437000</v>
      </c>
      <c r="AB10" s="83">
        <f aca="true" t="shared" si="12" ref="AB10:AB41">$Z10+$AA10</f>
        <v>22948503214</v>
      </c>
      <c r="AC10" s="44">
        <f aca="true" t="shared" si="13" ref="AC10:AC41">IF($I10=0,0,$AB10/$I10)</f>
        <v>0.6451450493941473</v>
      </c>
      <c r="AD10" s="82">
        <f>AD9</f>
        <v>6060308282</v>
      </c>
      <c r="AE10" s="83">
        <f>AE9</f>
        <v>1202070000</v>
      </c>
      <c r="AF10" s="83">
        <f aca="true" t="shared" si="14" ref="AF10:AF41">$AD10+$AE10</f>
        <v>7262378282</v>
      </c>
      <c r="AG10" s="44">
        <f>IF(32421355172=0,0,22945609241/32421355172)</f>
        <v>0.7077313430999478</v>
      </c>
      <c r="AH10" s="44">
        <f aca="true" t="shared" si="15" ref="AH10:AH41">IF($AF10=0,0,(($T10/$AF10)-1))</f>
        <v>0.05175022222837167</v>
      </c>
      <c r="AI10" s="64">
        <f>AI9</f>
        <v>32564307219</v>
      </c>
      <c r="AJ10" s="64">
        <f>AJ9</f>
        <v>32421355172</v>
      </c>
      <c r="AK10" s="64">
        <f>AK9</f>
        <v>22945609241</v>
      </c>
      <c r="AL10" s="64"/>
    </row>
    <row r="11" spans="1:38" s="13" customFormat="1" ht="12.75">
      <c r="A11" s="29" t="s">
        <v>95</v>
      </c>
      <c r="B11" s="61" t="s">
        <v>256</v>
      </c>
      <c r="C11" s="39" t="s">
        <v>257</v>
      </c>
      <c r="D11" s="78">
        <v>100066243</v>
      </c>
      <c r="E11" s="79">
        <v>39530100</v>
      </c>
      <c r="F11" s="80">
        <f t="shared" si="0"/>
        <v>139596343</v>
      </c>
      <c r="G11" s="78">
        <v>100066243</v>
      </c>
      <c r="H11" s="79">
        <v>39530100</v>
      </c>
      <c r="I11" s="81">
        <f t="shared" si="1"/>
        <v>139596343</v>
      </c>
      <c r="J11" s="78">
        <v>9638074</v>
      </c>
      <c r="K11" s="79">
        <v>2132793</v>
      </c>
      <c r="L11" s="79">
        <f t="shared" si="2"/>
        <v>11770867</v>
      </c>
      <c r="M11" s="40">
        <f t="shared" si="3"/>
        <v>0.08432074040793461</v>
      </c>
      <c r="N11" s="106">
        <v>12502105</v>
      </c>
      <c r="O11" s="107">
        <v>7290560</v>
      </c>
      <c r="P11" s="108">
        <f t="shared" si="4"/>
        <v>19792665</v>
      </c>
      <c r="Q11" s="40">
        <f t="shared" si="5"/>
        <v>0.1417849821467028</v>
      </c>
      <c r="R11" s="106">
        <v>0</v>
      </c>
      <c r="S11" s="108">
        <v>1381000</v>
      </c>
      <c r="T11" s="108">
        <f t="shared" si="6"/>
        <v>1381000</v>
      </c>
      <c r="U11" s="40">
        <f t="shared" si="7"/>
        <v>0.009892809298020078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22140179</v>
      </c>
      <c r="AA11" s="79">
        <f t="shared" si="11"/>
        <v>10804353</v>
      </c>
      <c r="AB11" s="79">
        <f t="shared" si="12"/>
        <v>32944532</v>
      </c>
      <c r="AC11" s="40">
        <f t="shared" si="13"/>
        <v>0.23599853185265748</v>
      </c>
      <c r="AD11" s="78">
        <v>13318079</v>
      </c>
      <c r="AE11" s="79">
        <v>2878914</v>
      </c>
      <c r="AF11" s="79">
        <f t="shared" si="14"/>
        <v>16196993</v>
      </c>
      <c r="AG11" s="40">
        <f>IF(110507129=0,0,40193598/110507129)</f>
        <v>0.36371950265760683</v>
      </c>
      <c r="AH11" s="40">
        <f t="shared" si="15"/>
        <v>-0.9147372601815658</v>
      </c>
      <c r="AI11" s="12">
        <v>85079341</v>
      </c>
      <c r="AJ11" s="12">
        <v>110507129</v>
      </c>
      <c r="AK11" s="12">
        <v>40193598</v>
      </c>
      <c r="AL11" s="12"/>
    </row>
    <row r="12" spans="1:38" s="13" customFormat="1" ht="12.75">
      <c r="A12" s="29" t="s">
        <v>95</v>
      </c>
      <c r="B12" s="61" t="s">
        <v>258</v>
      </c>
      <c r="C12" s="39" t="s">
        <v>259</v>
      </c>
      <c r="D12" s="78">
        <v>200895616</v>
      </c>
      <c r="E12" s="79">
        <v>57934200</v>
      </c>
      <c r="F12" s="80">
        <f t="shared" si="0"/>
        <v>258829816</v>
      </c>
      <c r="G12" s="78">
        <v>180344702</v>
      </c>
      <c r="H12" s="79">
        <v>63333854</v>
      </c>
      <c r="I12" s="81">
        <f t="shared" si="1"/>
        <v>243678556</v>
      </c>
      <c r="J12" s="78">
        <v>25326325</v>
      </c>
      <c r="K12" s="79">
        <v>12134342</v>
      </c>
      <c r="L12" s="79">
        <f t="shared" si="2"/>
        <v>37460667</v>
      </c>
      <c r="M12" s="40">
        <f t="shared" si="3"/>
        <v>0.1447308798457748</v>
      </c>
      <c r="N12" s="106">
        <v>37395171</v>
      </c>
      <c r="O12" s="107">
        <v>8700546</v>
      </c>
      <c r="P12" s="108">
        <f t="shared" si="4"/>
        <v>46095717</v>
      </c>
      <c r="Q12" s="40">
        <f t="shared" si="5"/>
        <v>0.17809276269778748</v>
      </c>
      <c r="R12" s="106">
        <v>30664376</v>
      </c>
      <c r="S12" s="108">
        <v>5083948</v>
      </c>
      <c r="T12" s="108">
        <f t="shared" si="6"/>
        <v>35748324</v>
      </c>
      <c r="U12" s="40">
        <f t="shared" si="7"/>
        <v>0.14670278988357105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93385872</v>
      </c>
      <c r="AA12" s="79">
        <f t="shared" si="11"/>
        <v>25918836</v>
      </c>
      <c r="AB12" s="79">
        <f t="shared" si="12"/>
        <v>119304708</v>
      </c>
      <c r="AC12" s="40">
        <f t="shared" si="13"/>
        <v>0.4895987154487242</v>
      </c>
      <c r="AD12" s="78">
        <v>29740211</v>
      </c>
      <c r="AE12" s="79">
        <v>10255845</v>
      </c>
      <c r="AF12" s="79">
        <f t="shared" si="14"/>
        <v>39996056</v>
      </c>
      <c r="AG12" s="40">
        <f>IF(209098632=0,0,103563284/209098632)</f>
        <v>0.49528436895751665</v>
      </c>
      <c r="AH12" s="40">
        <f t="shared" si="15"/>
        <v>-0.10620377169188877</v>
      </c>
      <c r="AI12" s="12">
        <v>203802940</v>
      </c>
      <c r="AJ12" s="12">
        <v>209098632</v>
      </c>
      <c r="AK12" s="12">
        <v>103563284</v>
      </c>
      <c r="AL12" s="12"/>
    </row>
    <row r="13" spans="1:38" s="13" customFormat="1" ht="12.75">
      <c r="A13" s="29" t="s">
        <v>95</v>
      </c>
      <c r="B13" s="61" t="s">
        <v>260</v>
      </c>
      <c r="C13" s="39" t="s">
        <v>261</v>
      </c>
      <c r="D13" s="78">
        <v>154896957</v>
      </c>
      <c r="E13" s="79">
        <v>57137000</v>
      </c>
      <c r="F13" s="80">
        <f t="shared" si="0"/>
        <v>212033957</v>
      </c>
      <c r="G13" s="78">
        <v>154896957</v>
      </c>
      <c r="H13" s="79">
        <v>76084312</v>
      </c>
      <c r="I13" s="81">
        <f t="shared" si="1"/>
        <v>230981269</v>
      </c>
      <c r="J13" s="78">
        <v>24023368</v>
      </c>
      <c r="K13" s="79">
        <v>26489234</v>
      </c>
      <c r="L13" s="79">
        <f t="shared" si="2"/>
        <v>50512602</v>
      </c>
      <c r="M13" s="40">
        <f t="shared" si="3"/>
        <v>0.23822883237518414</v>
      </c>
      <c r="N13" s="106">
        <v>22833868</v>
      </c>
      <c r="O13" s="107">
        <v>16309708</v>
      </c>
      <c r="P13" s="108">
        <f t="shared" si="4"/>
        <v>39143576</v>
      </c>
      <c r="Q13" s="40">
        <f t="shared" si="5"/>
        <v>0.18460993962396316</v>
      </c>
      <c r="R13" s="106">
        <v>23991495</v>
      </c>
      <c r="S13" s="108">
        <v>10612292</v>
      </c>
      <c r="T13" s="108">
        <f t="shared" si="6"/>
        <v>34603787</v>
      </c>
      <c r="U13" s="40">
        <f t="shared" si="7"/>
        <v>0.1498120914730969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70848731</v>
      </c>
      <c r="AA13" s="79">
        <f t="shared" si="11"/>
        <v>53411234</v>
      </c>
      <c r="AB13" s="79">
        <f t="shared" si="12"/>
        <v>124259965</v>
      </c>
      <c r="AC13" s="40">
        <f t="shared" si="13"/>
        <v>0.5379655481934338</v>
      </c>
      <c r="AD13" s="78">
        <v>21536069</v>
      </c>
      <c r="AE13" s="79">
        <v>10463997</v>
      </c>
      <c r="AF13" s="79">
        <f t="shared" si="14"/>
        <v>32000066</v>
      </c>
      <c r="AG13" s="40">
        <f>IF(160002457=0,0,112343306/160002457)</f>
        <v>0.7021348803412437</v>
      </c>
      <c r="AH13" s="40">
        <f t="shared" si="15"/>
        <v>0.08136611343239109</v>
      </c>
      <c r="AI13" s="12">
        <v>189783269</v>
      </c>
      <c r="AJ13" s="12">
        <v>160002457</v>
      </c>
      <c r="AK13" s="12">
        <v>112343306</v>
      </c>
      <c r="AL13" s="12"/>
    </row>
    <row r="14" spans="1:38" s="13" customFormat="1" ht="12.75">
      <c r="A14" s="29" t="s">
        <v>95</v>
      </c>
      <c r="B14" s="61" t="s">
        <v>262</v>
      </c>
      <c r="C14" s="39" t="s">
        <v>263</v>
      </c>
      <c r="D14" s="78">
        <v>127771518</v>
      </c>
      <c r="E14" s="79">
        <v>29561346</v>
      </c>
      <c r="F14" s="80">
        <f t="shared" si="0"/>
        <v>157332864</v>
      </c>
      <c r="G14" s="78">
        <v>131903804</v>
      </c>
      <c r="H14" s="79">
        <v>36535076</v>
      </c>
      <c r="I14" s="81">
        <f t="shared" si="1"/>
        <v>168438880</v>
      </c>
      <c r="J14" s="78">
        <v>27247449</v>
      </c>
      <c r="K14" s="79">
        <v>3042320</v>
      </c>
      <c r="L14" s="79">
        <f t="shared" si="2"/>
        <v>30289769</v>
      </c>
      <c r="M14" s="40">
        <f t="shared" si="3"/>
        <v>0.19252029251816072</v>
      </c>
      <c r="N14" s="106">
        <v>30991318</v>
      </c>
      <c r="O14" s="107">
        <v>3115012</v>
      </c>
      <c r="P14" s="108">
        <f t="shared" si="4"/>
        <v>34106330</v>
      </c>
      <c r="Q14" s="40">
        <f t="shared" si="5"/>
        <v>0.21677816784673798</v>
      </c>
      <c r="R14" s="106">
        <v>25135517</v>
      </c>
      <c r="S14" s="108">
        <v>8647407</v>
      </c>
      <c r="T14" s="108">
        <f t="shared" si="6"/>
        <v>33782924</v>
      </c>
      <c r="U14" s="40">
        <f t="shared" si="7"/>
        <v>0.20056488145729776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83374284</v>
      </c>
      <c r="AA14" s="79">
        <f t="shared" si="11"/>
        <v>14804739</v>
      </c>
      <c r="AB14" s="79">
        <f t="shared" si="12"/>
        <v>98179023</v>
      </c>
      <c r="AC14" s="40">
        <f t="shared" si="13"/>
        <v>0.582876251611267</v>
      </c>
      <c r="AD14" s="78">
        <v>24867687</v>
      </c>
      <c r="AE14" s="79">
        <v>2576406</v>
      </c>
      <c r="AF14" s="79">
        <f t="shared" si="14"/>
        <v>27444093</v>
      </c>
      <c r="AG14" s="40">
        <f>IF(164249539=0,0,88372071/164249539)</f>
        <v>0.5380354279106987</v>
      </c>
      <c r="AH14" s="40">
        <f t="shared" si="15"/>
        <v>0.2309725083645504</v>
      </c>
      <c r="AI14" s="12">
        <v>148523892</v>
      </c>
      <c r="AJ14" s="12">
        <v>164249539</v>
      </c>
      <c r="AK14" s="12">
        <v>88372071</v>
      </c>
      <c r="AL14" s="12"/>
    </row>
    <row r="15" spans="1:38" s="13" customFormat="1" ht="12.75">
      <c r="A15" s="29" t="s">
        <v>95</v>
      </c>
      <c r="B15" s="61" t="s">
        <v>264</v>
      </c>
      <c r="C15" s="39" t="s">
        <v>265</v>
      </c>
      <c r="D15" s="78">
        <v>55305095</v>
      </c>
      <c r="E15" s="79">
        <v>45150000</v>
      </c>
      <c r="F15" s="80">
        <f t="shared" si="0"/>
        <v>100455095</v>
      </c>
      <c r="G15" s="78">
        <v>55305095</v>
      </c>
      <c r="H15" s="79">
        <v>45150000</v>
      </c>
      <c r="I15" s="81">
        <f t="shared" si="1"/>
        <v>100455095</v>
      </c>
      <c r="J15" s="78">
        <v>10425220</v>
      </c>
      <c r="K15" s="79">
        <v>3085787</v>
      </c>
      <c r="L15" s="79">
        <f t="shared" si="2"/>
        <v>13511007</v>
      </c>
      <c r="M15" s="40">
        <f t="shared" si="3"/>
        <v>0.13449797643414702</v>
      </c>
      <c r="N15" s="106">
        <v>11153494</v>
      </c>
      <c r="O15" s="107">
        <v>17764605</v>
      </c>
      <c r="P15" s="108">
        <f t="shared" si="4"/>
        <v>28918099</v>
      </c>
      <c r="Q15" s="40">
        <f t="shared" si="5"/>
        <v>0.2878709039098515</v>
      </c>
      <c r="R15" s="106">
        <v>9277677</v>
      </c>
      <c r="S15" s="108">
        <v>10395727</v>
      </c>
      <c r="T15" s="108">
        <f t="shared" si="6"/>
        <v>19673404</v>
      </c>
      <c r="U15" s="40">
        <f t="shared" si="7"/>
        <v>0.19584276934883194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30856391</v>
      </c>
      <c r="AA15" s="79">
        <f t="shared" si="11"/>
        <v>31246119</v>
      </c>
      <c r="AB15" s="79">
        <f t="shared" si="12"/>
        <v>62102510</v>
      </c>
      <c r="AC15" s="40">
        <f t="shared" si="13"/>
        <v>0.6182116496928304</v>
      </c>
      <c r="AD15" s="78">
        <v>9416810</v>
      </c>
      <c r="AE15" s="79">
        <v>6261215</v>
      </c>
      <c r="AF15" s="79">
        <f t="shared" si="14"/>
        <v>15678025</v>
      </c>
      <c r="AG15" s="40">
        <f>IF(68323000=0,0,36735901/68323000)</f>
        <v>0.5376798589054931</v>
      </c>
      <c r="AH15" s="40">
        <f t="shared" si="15"/>
        <v>0.2548394329005088</v>
      </c>
      <c r="AI15" s="12">
        <v>61219779</v>
      </c>
      <c r="AJ15" s="12">
        <v>68323000</v>
      </c>
      <c r="AK15" s="12">
        <v>36735901</v>
      </c>
      <c r="AL15" s="12"/>
    </row>
    <row r="16" spans="1:38" s="13" customFormat="1" ht="12.75">
      <c r="A16" s="29" t="s">
        <v>95</v>
      </c>
      <c r="B16" s="61" t="s">
        <v>266</v>
      </c>
      <c r="C16" s="39" t="s">
        <v>267</v>
      </c>
      <c r="D16" s="78">
        <v>754860346</v>
      </c>
      <c r="E16" s="79">
        <v>163336260</v>
      </c>
      <c r="F16" s="80">
        <f t="shared" si="0"/>
        <v>918196606</v>
      </c>
      <c r="G16" s="78">
        <v>730542759</v>
      </c>
      <c r="H16" s="79">
        <v>163336260</v>
      </c>
      <c r="I16" s="81">
        <f t="shared" si="1"/>
        <v>893879019</v>
      </c>
      <c r="J16" s="78">
        <v>155865861</v>
      </c>
      <c r="K16" s="79">
        <v>15544334</v>
      </c>
      <c r="L16" s="79">
        <f t="shared" si="2"/>
        <v>171410195</v>
      </c>
      <c r="M16" s="40">
        <f t="shared" si="3"/>
        <v>0.1866813641870508</v>
      </c>
      <c r="N16" s="106">
        <v>240728719</v>
      </c>
      <c r="O16" s="107">
        <v>40150934</v>
      </c>
      <c r="P16" s="108">
        <f t="shared" si="4"/>
        <v>280879653</v>
      </c>
      <c r="Q16" s="40">
        <f t="shared" si="5"/>
        <v>0.3059036062261376</v>
      </c>
      <c r="R16" s="106">
        <v>56126752</v>
      </c>
      <c r="S16" s="108">
        <v>15844453</v>
      </c>
      <c r="T16" s="108">
        <f t="shared" si="6"/>
        <v>71971205</v>
      </c>
      <c r="U16" s="40">
        <f t="shared" si="7"/>
        <v>0.08051559939343425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452721332</v>
      </c>
      <c r="AA16" s="79">
        <f t="shared" si="11"/>
        <v>71539721</v>
      </c>
      <c r="AB16" s="79">
        <f t="shared" si="12"/>
        <v>524261053</v>
      </c>
      <c r="AC16" s="40">
        <f t="shared" si="13"/>
        <v>0.5865011280682045</v>
      </c>
      <c r="AD16" s="78">
        <v>146382898</v>
      </c>
      <c r="AE16" s="79">
        <v>21321750</v>
      </c>
      <c r="AF16" s="79">
        <f t="shared" si="14"/>
        <v>167704648</v>
      </c>
      <c r="AG16" s="40">
        <f>IF(851833433=0,0,481400150/851833433)</f>
        <v>0.5651341346213632</v>
      </c>
      <c r="AH16" s="40">
        <f t="shared" si="15"/>
        <v>-0.5708454961844588</v>
      </c>
      <c r="AI16" s="12">
        <v>806060627</v>
      </c>
      <c r="AJ16" s="12">
        <v>851833433</v>
      </c>
      <c r="AK16" s="12">
        <v>481400150</v>
      </c>
      <c r="AL16" s="12"/>
    </row>
    <row r="17" spans="1:38" s="13" customFormat="1" ht="12.75">
      <c r="A17" s="29" t="s">
        <v>114</v>
      </c>
      <c r="B17" s="61" t="s">
        <v>268</v>
      </c>
      <c r="C17" s="39" t="s">
        <v>269</v>
      </c>
      <c r="D17" s="78">
        <v>804588341</v>
      </c>
      <c r="E17" s="79">
        <v>396652920</v>
      </c>
      <c r="F17" s="80">
        <f t="shared" si="0"/>
        <v>1201241261</v>
      </c>
      <c r="G17" s="78">
        <v>873793199</v>
      </c>
      <c r="H17" s="79">
        <v>416367218</v>
      </c>
      <c r="I17" s="81">
        <f t="shared" si="1"/>
        <v>1290160417</v>
      </c>
      <c r="J17" s="78">
        <v>185060480</v>
      </c>
      <c r="K17" s="79">
        <v>52774035</v>
      </c>
      <c r="L17" s="79">
        <f t="shared" si="2"/>
        <v>237834515</v>
      </c>
      <c r="M17" s="40">
        <f t="shared" si="3"/>
        <v>0.197990630793026</v>
      </c>
      <c r="N17" s="106">
        <v>204045422</v>
      </c>
      <c r="O17" s="107">
        <v>93544598</v>
      </c>
      <c r="P17" s="108">
        <f t="shared" si="4"/>
        <v>297590020</v>
      </c>
      <c r="Q17" s="40">
        <f t="shared" si="5"/>
        <v>0.24773542972730106</v>
      </c>
      <c r="R17" s="106">
        <v>201028088</v>
      </c>
      <c r="S17" s="108">
        <v>45657150</v>
      </c>
      <c r="T17" s="108">
        <f t="shared" si="6"/>
        <v>246685238</v>
      </c>
      <c r="U17" s="40">
        <f t="shared" si="7"/>
        <v>0.191205089498572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590133990</v>
      </c>
      <c r="AA17" s="79">
        <f t="shared" si="11"/>
        <v>191975783</v>
      </c>
      <c r="AB17" s="79">
        <f t="shared" si="12"/>
        <v>782109773</v>
      </c>
      <c r="AC17" s="40">
        <f t="shared" si="13"/>
        <v>0.6062112607815343</v>
      </c>
      <c r="AD17" s="78">
        <v>171126950</v>
      </c>
      <c r="AE17" s="79">
        <v>47671869</v>
      </c>
      <c r="AF17" s="79">
        <f t="shared" si="14"/>
        <v>218798819</v>
      </c>
      <c r="AG17" s="40">
        <f>IF(1170358948=0,0,721153999/1170358948)</f>
        <v>0.6161818989228594</v>
      </c>
      <c r="AH17" s="40">
        <f t="shared" si="15"/>
        <v>0.12745232870749645</v>
      </c>
      <c r="AI17" s="12">
        <v>1063352797</v>
      </c>
      <c r="AJ17" s="12">
        <v>1170358948</v>
      </c>
      <c r="AK17" s="12">
        <v>721153999</v>
      </c>
      <c r="AL17" s="12"/>
    </row>
    <row r="18" spans="1:38" s="57" customFormat="1" ht="12.75">
      <c r="A18" s="62"/>
      <c r="B18" s="63" t="s">
        <v>270</v>
      </c>
      <c r="C18" s="32"/>
      <c r="D18" s="82">
        <f>SUM(D11:D17)</f>
        <v>2198384116</v>
      </c>
      <c r="E18" s="83">
        <f>SUM(E11:E17)</f>
        <v>789301826</v>
      </c>
      <c r="F18" s="91">
        <f t="shared" si="0"/>
        <v>2987685942</v>
      </c>
      <c r="G18" s="82">
        <f>SUM(G11:G17)</f>
        <v>2226852759</v>
      </c>
      <c r="H18" s="83">
        <f>SUM(H11:H17)</f>
        <v>840336820</v>
      </c>
      <c r="I18" s="84">
        <f t="shared" si="1"/>
        <v>3067189579</v>
      </c>
      <c r="J18" s="82">
        <f>SUM(J11:J17)</f>
        <v>437586777</v>
      </c>
      <c r="K18" s="83">
        <f>SUM(K11:K17)</f>
        <v>115202845</v>
      </c>
      <c r="L18" s="83">
        <f t="shared" si="2"/>
        <v>552789622</v>
      </c>
      <c r="M18" s="44">
        <f t="shared" si="3"/>
        <v>0.18502266728542247</v>
      </c>
      <c r="N18" s="112">
        <f>SUM(N11:N17)</f>
        <v>559650097</v>
      </c>
      <c r="O18" s="113">
        <f>SUM(O11:O17)</f>
        <v>186875963</v>
      </c>
      <c r="P18" s="114">
        <f t="shared" si="4"/>
        <v>746526060</v>
      </c>
      <c r="Q18" s="44">
        <f t="shared" si="5"/>
        <v>0.24986764823757368</v>
      </c>
      <c r="R18" s="112">
        <f>SUM(R11:R17)</f>
        <v>346223905</v>
      </c>
      <c r="S18" s="114">
        <f>SUM(S11:S17)</f>
        <v>97621977</v>
      </c>
      <c r="T18" s="114">
        <f t="shared" si="6"/>
        <v>443845882</v>
      </c>
      <c r="U18" s="44">
        <f t="shared" si="7"/>
        <v>0.14470767801209983</v>
      </c>
      <c r="V18" s="112">
        <f>SUM(V11:V17)</f>
        <v>0</v>
      </c>
      <c r="W18" s="114">
        <f>SUM(W11:W17)</f>
        <v>0</v>
      </c>
      <c r="X18" s="114">
        <f t="shared" si="8"/>
        <v>0</v>
      </c>
      <c r="Y18" s="44">
        <f t="shared" si="9"/>
        <v>0</v>
      </c>
      <c r="Z18" s="82">
        <f t="shared" si="10"/>
        <v>1343460779</v>
      </c>
      <c r="AA18" s="83">
        <f t="shared" si="11"/>
        <v>399700785</v>
      </c>
      <c r="AB18" s="83">
        <f t="shared" si="12"/>
        <v>1743161564</v>
      </c>
      <c r="AC18" s="44">
        <f t="shared" si="13"/>
        <v>0.5683253411966551</v>
      </c>
      <c r="AD18" s="82">
        <f>SUM(AD11:AD17)</f>
        <v>416388704</v>
      </c>
      <c r="AE18" s="83">
        <f>SUM(AE11:AE17)</f>
        <v>101429996</v>
      </c>
      <c r="AF18" s="83">
        <f t="shared" si="14"/>
        <v>517818700</v>
      </c>
      <c r="AG18" s="44">
        <f>IF(1170358948=0,0,721153999/1170358948)</f>
        <v>0.6161818989228594</v>
      </c>
      <c r="AH18" s="44">
        <f t="shared" si="15"/>
        <v>-0.14285466708714845</v>
      </c>
      <c r="AI18" s="64">
        <f>SUM(AI11:AI17)</f>
        <v>2557822645</v>
      </c>
      <c r="AJ18" s="64">
        <f>SUM(AJ11:AJ17)</f>
        <v>2734373138</v>
      </c>
      <c r="AK18" s="64">
        <f>SUM(AK11:AK17)</f>
        <v>1583762309</v>
      </c>
      <c r="AL18" s="64"/>
    </row>
    <row r="19" spans="1:38" s="13" customFormat="1" ht="12.75">
      <c r="A19" s="29" t="s">
        <v>95</v>
      </c>
      <c r="B19" s="61" t="s">
        <v>271</v>
      </c>
      <c r="C19" s="39" t="s">
        <v>272</v>
      </c>
      <c r="D19" s="78">
        <v>140213000</v>
      </c>
      <c r="E19" s="79">
        <v>32264000</v>
      </c>
      <c r="F19" s="80">
        <f t="shared" si="0"/>
        <v>172477000</v>
      </c>
      <c r="G19" s="78">
        <v>125953000</v>
      </c>
      <c r="H19" s="79">
        <v>44096000</v>
      </c>
      <c r="I19" s="81">
        <f t="shared" si="1"/>
        <v>170049000</v>
      </c>
      <c r="J19" s="78">
        <v>28381256</v>
      </c>
      <c r="K19" s="79">
        <v>16247488</v>
      </c>
      <c r="L19" s="79">
        <f t="shared" si="2"/>
        <v>44628744</v>
      </c>
      <c r="M19" s="40">
        <f t="shared" si="3"/>
        <v>0.2587518567693084</v>
      </c>
      <c r="N19" s="106">
        <v>32072363</v>
      </c>
      <c r="O19" s="107">
        <v>13178172</v>
      </c>
      <c r="P19" s="108">
        <f t="shared" si="4"/>
        <v>45250535</v>
      </c>
      <c r="Q19" s="40">
        <f t="shared" si="5"/>
        <v>0.26235692295204577</v>
      </c>
      <c r="R19" s="106">
        <v>28568763</v>
      </c>
      <c r="S19" s="108">
        <v>6400684</v>
      </c>
      <c r="T19" s="108">
        <f t="shared" si="6"/>
        <v>34969447</v>
      </c>
      <c r="U19" s="40">
        <f t="shared" si="7"/>
        <v>0.20564335573864004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89022382</v>
      </c>
      <c r="AA19" s="79">
        <f t="shared" si="11"/>
        <v>35826344</v>
      </c>
      <c r="AB19" s="79">
        <f t="shared" si="12"/>
        <v>124848726</v>
      </c>
      <c r="AC19" s="40">
        <f t="shared" si="13"/>
        <v>0.7341926503537216</v>
      </c>
      <c r="AD19" s="78">
        <v>23572167</v>
      </c>
      <c r="AE19" s="79">
        <v>5292023</v>
      </c>
      <c r="AF19" s="79">
        <f t="shared" si="14"/>
        <v>28864190</v>
      </c>
      <c r="AG19" s="40">
        <f>IF(152849000=0,0,97811404/152849000)</f>
        <v>0.6399217790106576</v>
      </c>
      <c r="AH19" s="40">
        <f t="shared" si="15"/>
        <v>0.21151665783796458</v>
      </c>
      <c r="AI19" s="12">
        <v>137979000</v>
      </c>
      <c r="AJ19" s="12">
        <v>152849000</v>
      </c>
      <c r="AK19" s="12">
        <v>97811404</v>
      </c>
      <c r="AL19" s="12"/>
    </row>
    <row r="20" spans="1:38" s="13" customFormat="1" ht="12.75">
      <c r="A20" s="29" t="s">
        <v>95</v>
      </c>
      <c r="B20" s="61" t="s">
        <v>273</v>
      </c>
      <c r="C20" s="39" t="s">
        <v>274</v>
      </c>
      <c r="D20" s="78">
        <v>317183155</v>
      </c>
      <c r="E20" s="79">
        <v>27249000</v>
      </c>
      <c r="F20" s="81">
        <f t="shared" si="0"/>
        <v>344432155</v>
      </c>
      <c r="G20" s="78">
        <v>322449063</v>
      </c>
      <c r="H20" s="79">
        <v>44408681</v>
      </c>
      <c r="I20" s="81">
        <f t="shared" si="1"/>
        <v>366857744</v>
      </c>
      <c r="J20" s="78">
        <v>76397582</v>
      </c>
      <c r="K20" s="79">
        <v>1311655</v>
      </c>
      <c r="L20" s="79">
        <f t="shared" si="2"/>
        <v>77709237</v>
      </c>
      <c r="M20" s="40">
        <f t="shared" si="3"/>
        <v>0.22561551200119512</v>
      </c>
      <c r="N20" s="106">
        <v>57698899</v>
      </c>
      <c r="O20" s="107">
        <v>8946940</v>
      </c>
      <c r="P20" s="108">
        <f t="shared" si="4"/>
        <v>66645839</v>
      </c>
      <c r="Q20" s="40">
        <f t="shared" si="5"/>
        <v>0.1934948233854647</v>
      </c>
      <c r="R20" s="106">
        <v>65065836</v>
      </c>
      <c r="S20" s="108">
        <v>3225713</v>
      </c>
      <c r="T20" s="108">
        <f t="shared" si="6"/>
        <v>68291549</v>
      </c>
      <c r="U20" s="40">
        <f t="shared" si="7"/>
        <v>0.18615267121088766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199162317</v>
      </c>
      <c r="AA20" s="79">
        <f t="shared" si="11"/>
        <v>13484308</v>
      </c>
      <c r="AB20" s="79">
        <f t="shared" si="12"/>
        <v>212646625</v>
      </c>
      <c r="AC20" s="40">
        <f t="shared" si="13"/>
        <v>0.5796432772044741</v>
      </c>
      <c r="AD20" s="78">
        <v>55578176</v>
      </c>
      <c r="AE20" s="79">
        <v>9851540</v>
      </c>
      <c r="AF20" s="79">
        <f t="shared" si="14"/>
        <v>65429716</v>
      </c>
      <c r="AG20" s="40">
        <f>IF(353924056=0,0,212242227/353924056)</f>
        <v>0.5996829641893571</v>
      </c>
      <c r="AH20" s="40">
        <f t="shared" si="15"/>
        <v>0.04373904053014699</v>
      </c>
      <c r="AI20" s="12">
        <v>282300019</v>
      </c>
      <c r="AJ20" s="12">
        <v>353924056</v>
      </c>
      <c r="AK20" s="12">
        <v>212242227</v>
      </c>
      <c r="AL20" s="12"/>
    </row>
    <row r="21" spans="1:38" s="13" customFormat="1" ht="12.75">
      <c r="A21" s="29" t="s">
        <v>95</v>
      </c>
      <c r="B21" s="61" t="s">
        <v>275</v>
      </c>
      <c r="C21" s="39" t="s">
        <v>276</v>
      </c>
      <c r="D21" s="78">
        <v>139333079</v>
      </c>
      <c r="E21" s="79">
        <v>16595000</v>
      </c>
      <c r="F21" s="80">
        <f t="shared" si="0"/>
        <v>155928079</v>
      </c>
      <c r="G21" s="78">
        <v>125543325</v>
      </c>
      <c r="H21" s="79">
        <v>14650000</v>
      </c>
      <c r="I21" s="81">
        <f t="shared" si="1"/>
        <v>140193325</v>
      </c>
      <c r="J21" s="78">
        <v>30956466</v>
      </c>
      <c r="K21" s="79">
        <v>12116353</v>
      </c>
      <c r="L21" s="79">
        <f t="shared" si="2"/>
        <v>43072819</v>
      </c>
      <c r="M21" s="40">
        <f t="shared" si="3"/>
        <v>0.2762351673684122</v>
      </c>
      <c r="N21" s="106">
        <v>12332487</v>
      </c>
      <c r="O21" s="107">
        <v>0</v>
      </c>
      <c r="P21" s="108">
        <f t="shared" si="4"/>
        <v>12332487</v>
      </c>
      <c r="Q21" s="40">
        <f t="shared" si="5"/>
        <v>0.07909086727092944</v>
      </c>
      <c r="R21" s="106">
        <v>22318910</v>
      </c>
      <c r="S21" s="108">
        <v>0</v>
      </c>
      <c r="T21" s="108">
        <f t="shared" si="6"/>
        <v>22318910</v>
      </c>
      <c r="U21" s="40">
        <f t="shared" si="7"/>
        <v>0.15920094626473835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65607863</v>
      </c>
      <c r="AA21" s="79">
        <f t="shared" si="11"/>
        <v>12116353</v>
      </c>
      <c r="AB21" s="79">
        <f t="shared" si="12"/>
        <v>77724216</v>
      </c>
      <c r="AC21" s="40">
        <f t="shared" si="13"/>
        <v>0.5544073942179487</v>
      </c>
      <c r="AD21" s="78">
        <v>15275016</v>
      </c>
      <c r="AE21" s="79">
        <v>7311584</v>
      </c>
      <c r="AF21" s="79">
        <f t="shared" si="14"/>
        <v>22586600</v>
      </c>
      <c r="AG21" s="40">
        <f>IF(130595325=0,0,73265458/130595325)</f>
        <v>0.5610113378867122</v>
      </c>
      <c r="AH21" s="40">
        <f t="shared" si="15"/>
        <v>-0.011851717389956828</v>
      </c>
      <c r="AI21" s="12">
        <v>136515200</v>
      </c>
      <c r="AJ21" s="12">
        <v>130595325</v>
      </c>
      <c r="AK21" s="12">
        <v>73265458</v>
      </c>
      <c r="AL21" s="12"/>
    </row>
    <row r="22" spans="1:38" s="13" customFormat="1" ht="12.75">
      <c r="A22" s="29" t="s">
        <v>95</v>
      </c>
      <c r="B22" s="61" t="s">
        <v>277</v>
      </c>
      <c r="C22" s="39" t="s">
        <v>278</v>
      </c>
      <c r="D22" s="78">
        <v>60411233</v>
      </c>
      <c r="E22" s="79">
        <v>13353100</v>
      </c>
      <c r="F22" s="80">
        <f t="shared" si="0"/>
        <v>73764333</v>
      </c>
      <c r="G22" s="78">
        <v>70136457</v>
      </c>
      <c r="H22" s="79">
        <v>13353100</v>
      </c>
      <c r="I22" s="81">
        <f t="shared" si="1"/>
        <v>83489557</v>
      </c>
      <c r="J22" s="78">
        <v>17177349</v>
      </c>
      <c r="K22" s="79">
        <v>1072976</v>
      </c>
      <c r="L22" s="79">
        <f t="shared" si="2"/>
        <v>18250325</v>
      </c>
      <c r="M22" s="40">
        <f t="shared" si="3"/>
        <v>0.24741395004547795</v>
      </c>
      <c r="N22" s="106">
        <v>19352531</v>
      </c>
      <c r="O22" s="107">
        <v>13736</v>
      </c>
      <c r="P22" s="108">
        <f t="shared" si="4"/>
        <v>19366267</v>
      </c>
      <c r="Q22" s="40">
        <f t="shared" si="5"/>
        <v>0.2625424268392693</v>
      </c>
      <c r="R22" s="106">
        <v>13013829</v>
      </c>
      <c r="S22" s="108">
        <v>2522434</v>
      </c>
      <c r="T22" s="108">
        <f t="shared" si="6"/>
        <v>15536263</v>
      </c>
      <c r="U22" s="40">
        <f t="shared" si="7"/>
        <v>0.18608630298517453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49543709</v>
      </c>
      <c r="AA22" s="79">
        <f t="shared" si="11"/>
        <v>3609146</v>
      </c>
      <c r="AB22" s="79">
        <f t="shared" si="12"/>
        <v>53152855</v>
      </c>
      <c r="AC22" s="40">
        <f t="shared" si="13"/>
        <v>0.6366407597539414</v>
      </c>
      <c r="AD22" s="78">
        <v>10338637</v>
      </c>
      <c r="AE22" s="79">
        <v>586599</v>
      </c>
      <c r="AF22" s="79">
        <f t="shared" si="14"/>
        <v>10925236</v>
      </c>
      <c r="AG22" s="40">
        <f>IF(55456997=0,0,57261525/55456997)</f>
        <v>1.0325392303517624</v>
      </c>
      <c r="AH22" s="40">
        <f t="shared" si="15"/>
        <v>0.42205285084917166</v>
      </c>
      <c r="AI22" s="12">
        <v>56222988</v>
      </c>
      <c r="AJ22" s="12">
        <v>55456997</v>
      </c>
      <c r="AK22" s="12">
        <v>57261525</v>
      </c>
      <c r="AL22" s="12"/>
    </row>
    <row r="23" spans="1:38" s="13" customFormat="1" ht="12.75">
      <c r="A23" s="29" t="s">
        <v>95</v>
      </c>
      <c r="B23" s="61" t="s">
        <v>75</v>
      </c>
      <c r="C23" s="39" t="s">
        <v>76</v>
      </c>
      <c r="D23" s="78">
        <v>4033134434</v>
      </c>
      <c r="E23" s="79">
        <v>709060000</v>
      </c>
      <c r="F23" s="80">
        <f t="shared" si="0"/>
        <v>4742194434</v>
      </c>
      <c r="G23" s="78">
        <v>4236149510</v>
      </c>
      <c r="H23" s="79">
        <v>710287627</v>
      </c>
      <c r="I23" s="81">
        <f t="shared" si="1"/>
        <v>4946437137</v>
      </c>
      <c r="J23" s="78">
        <v>1036570317</v>
      </c>
      <c r="K23" s="79">
        <v>72582551</v>
      </c>
      <c r="L23" s="79">
        <f t="shared" si="2"/>
        <v>1109152868</v>
      </c>
      <c r="M23" s="40">
        <f t="shared" si="3"/>
        <v>0.2338902133678309</v>
      </c>
      <c r="N23" s="106">
        <v>969207216</v>
      </c>
      <c r="O23" s="107">
        <v>148969631</v>
      </c>
      <c r="P23" s="108">
        <f t="shared" si="4"/>
        <v>1118176847</v>
      </c>
      <c r="Q23" s="40">
        <f t="shared" si="5"/>
        <v>0.235793125432191</v>
      </c>
      <c r="R23" s="106">
        <v>884961123</v>
      </c>
      <c r="S23" s="108">
        <v>80232145</v>
      </c>
      <c r="T23" s="108">
        <f t="shared" si="6"/>
        <v>965193268</v>
      </c>
      <c r="U23" s="40">
        <f t="shared" si="7"/>
        <v>0.1951289870400308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2890738656</v>
      </c>
      <c r="AA23" s="79">
        <f t="shared" si="11"/>
        <v>301784327</v>
      </c>
      <c r="AB23" s="79">
        <f t="shared" si="12"/>
        <v>3192522983</v>
      </c>
      <c r="AC23" s="40">
        <f t="shared" si="13"/>
        <v>0.6454186911867349</v>
      </c>
      <c r="AD23" s="78">
        <v>771814097</v>
      </c>
      <c r="AE23" s="79">
        <v>173440534</v>
      </c>
      <c r="AF23" s="79">
        <f t="shared" si="14"/>
        <v>945254631</v>
      </c>
      <c r="AG23" s="40">
        <f>IF(4427104508=0,0,3005009850/4427104508)</f>
        <v>0.6787754489576192</v>
      </c>
      <c r="AH23" s="40">
        <f t="shared" si="15"/>
        <v>0.02109340313827035</v>
      </c>
      <c r="AI23" s="12">
        <v>4097767735</v>
      </c>
      <c r="AJ23" s="12">
        <v>4427104508</v>
      </c>
      <c r="AK23" s="12">
        <v>3005009850</v>
      </c>
      <c r="AL23" s="12"/>
    </row>
    <row r="24" spans="1:38" s="13" customFormat="1" ht="12.75">
      <c r="A24" s="29" t="s">
        <v>95</v>
      </c>
      <c r="B24" s="61" t="s">
        <v>279</v>
      </c>
      <c r="C24" s="39" t="s">
        <v>280</v>
      </c>
      <c r="D24" s="78">
        <v>83628047</v>
      </c>
      <c r="E24" s="79">
        <v>19301000</v>
      </c>
      <c r="F24" s="80">
        <f t="shared" si="0"/>
        <v>102929047</v>
      </c>
      <c r="G24" s="78">
        <v>74230521</v>
      </c>
      <c r="H24" s="79">
        <v>19301000</v>
      </c>
      <c r="I24" s="81">
        <f t="shared" si="1"/>
        <v>93531521</v>
      </c>
      <c r="J24" s="78">
        <v>12942499</v>
      </c>
      <c r="K24" s="79">
        <v>2266670</v>
      </c>
      <c r="L24" s="79">
        <f t="shared" si="2"/>
        <v>15209169</v>
      </c>
      <c r="M24" s="40">
        <f t="shared" si="3"/>
        <v>0.147763624004019</v>
      </c>
      <c r="N24" s="106">
        <v>20800972</v>
      </c>
      <c r="O24" s="107">
        <v>4315029</v>
      </c>
      <c r="P24" s="108">
        <f t="shared" si="4"/>
        <v>25116001</v>
      </c>
      <c r="Q24" s="40">
        <f t="shared" si="5"/>
        <v>0.24401276152882287</v>
      </c>
      <c r="R24" s="106">
        <v>18136102</v>
      </c>
      <c r="S24" s="108">
        <v>4240894</v>
      </c>
      <c r="T24" s="108">
        <f t="shared" si="6"/>
        <v>22376996</v>
      </c>
      <c r="U24" s="40">
        <f t="shared" si="7"/>
        <v>0.23924550526661487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51879573</v>
      </c>
      <c r="AA24" s="79">
        <f t="shared" si="11"/>
        <v>10822593</v>
      </c>
      <c r="AB24" s="79">
        <f t="shared" si="12"/>
        <v>62702166</v>
      </c>
      <c r="AC24" s="40">
        <f t="shared" si="13"/>
        <v>0.6703853987363255</v>
      </c>
      <c r="AD24" s="78">
        <v>12394724</v>
      </c>
      <c r="AE24" s="79">
        <v>2043100</v>
      </c>
      <c r="AF24" s="79">
        <f t="shared" si="14"/>
        <v>14437824</v>
      </c>
      <c r="AG24" s="40">
        <f>IF(83213614=0,0,41658335/83213614)</f>
        <v>0.5006192255993112</v>
      </c>
      <c r="AH24" s="40">
        <f t="shared" si="15"/>
        <v>0.5498870189856866</v>
      </c>
      <c r="AI24" s="12">
        <v>71664260</v>
      </c>
      <c r="AJ24" s="12">
        <v>83213614</v>
      </c>
      <c r="AK24" s="12">
        <v>41658335</v>
      </c>
      <c r="AL24" s="12"/>
    </row>
    <row r="25" spans="1:38" s="13" customFormat="1" ht="12.75">
      <c r="A25" s="29" t="s">
        <v>95</v>
      </c>
      <c r="B25" s="61" t="s">
        <v>281</v>
      </c>
      <c r="C25" s="39" t="s">
        <v>282</v>
      </c>
      <c r="D25" s="78">
        <v>89596684</v>
      </c>
      <c r="E25" s="79">
        <v>25850400</v>
      </c>
      <c r="F25" s="80">
        <f t="shared" si="0"/>
        <v>115447084</v>
      </c>
      <c r="G25" s="78">
        <v>96904378</v>
      </c>
      <c r="H25" s="79">
        <v>47645818</v>
      </c>
      <c r="I25" s="81">
        <f t="shared" si="1"/>
        <v>144550196</v>
      </c>
      <c r="J25" s="78">
        <v>17041653</v>
      </c>
      <c r="K25" s="79">
        <v>7697273</v>
      </c>
      <c r="L25" s="79">
        <f t="shared" si="2"/>
        <v>24738926</v>
      </c>
      <c r="M25" s="40">
        <f t="shared" si="3"/>
        <v>0.21428801094707597</v>
      </c>
      <c r="N25" s="106">
        <v>28768643</v>
      </c>
      <c r="O25" s="107">
        <v>13310651</v>
      </c>
      <c r="P25" s="108">
        <f t="shared" si="4"/>
        <v>42079294</v>
      </c>
      <c r="Q25" s="40">
        <f t="shared" si="5"/>
        <v>0.36448988178861236</v>
      </c>
      <c r="R25" s="106">
        <v>23895408</v>
      </c>
      <c r="S25" s="108">
        <v>2126004</v>
      </c>
      <c r="T25" s="108">
        <f t="shared" si="6"/>
        <v>26021412</v>
      </c>
      <c r="U25" s="40">
        <f t="shared" si="7"/>
        <v>0.18001644217763635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69705704</v>
      </c>
      <c r="AA25" s="79">
        <f t="shared" si="11"/>
        <v>23133928</v>
      </c>
      <c r="AB25" s="79">
        <f t="shared" si="12"/>
        <v>92839632</v>
      </c>
      <c r="AC25" s="40">
        <f t="shared" si="13"/>
        <v>0.642265694333614</v>
      </c>
      <c r="AD25" s="78">
        <v>16185015</v>
      </c>
      <c r="AE25" s="79">
        <v>3188800</v>
      </c>
      <c r="AF25" s="79">
        <f t="shared" si="14"/>
        <v>19373815</v>
      </c>
      <c r="AG25" s="40">
        <f>IF(108699262=0,0,68665313/108699262)</f>
        <v>0.6316999005936214</v>
      </c>
      <c r="AH25" s="40">
        <f t="shared" si="15"/>
        <v>0.34312276647629814</v>
      </c>
      <c r="AI25" s="12">
        <v>87756143</v>
      </c>
      <c r="AJ25" s="12">
        <v>108699262</v>
      </c>
      <c r="AK25" s="12">
        <v>68665313</v>
      </c>
      <c r="AL25" s="12"/>
    </row>
    <row r="26" spans="1:38" s="13" customFormat="1" ht="12.75">
      <c r="A26" s="29" t="s">
        <v>114</v>
      </c>
      <c r="B26" s="61" t="s">
        <v>283</v>
      </c>
      <c r="C26" s="39" t="s">
        <v>284</v>
      </c>
      <c r="D26" s="78">
        <v>576918381</v>
      </c>
      <c r="E26" s="79">
        <v>260496000</v>
      </c>
      <c r="F26" s="80">
        <f t="shared" si="0"/>
        <v>837414381</v>
      </c>
      <c r="G26" s="78">
        <v>602169936</v>
      </c>
      <c r="H26" s="79">
        <v>277045000</v>
      </c>
      <c r="I26" s="81">
        <f t="shared" si="1"/>
        <v>879214936</v>
      </c>
      <c r="J26" s="78">
        <v>125051007</v>
      </c>
      <c r="K26" s="79">
        <v>175123996</v>
      </c>
      <c r="L26" s="79">
        <f t="shared" si="2"/>
        <v>300175003</v>
      </c>
      <c r="M26" s="40">
        <f t="shared" si="3"/>
        <v>0.35845455942796856</v>
      </c>
      <c r="N26" s="106">
        <v>150707563</v>
      </c>
      <c r="O26" s="107">
        <v>48781918</v>
      </c>
      <c r="P26" s="108">
        <f t="shared" si="4"/>
        <v>199489481</v>
      </c>
      <c r="Q26" s="40">
        <f t="shared" si="5"/>
        <v>0.2382207489221516</v>
      </c>
      <c r="R26" s="106">
        <v>105782186</v>
      </c>
      <c r="S26" s="108">
        <v>29194815</v>
      </c>
      <c r="T26" s="108">
        <f t="shared" si="6"/>
        <v>134977001</v>
      </c>
      <c r="U26" s="40">
        <f t="shared" si="7"/>
        <v>0.15351991358800118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381540756</v>
      </c>
      <c r="AA26" s="79">
        <f t="shared" si="11"/>
        <v>253100729</v>
      </c>
      <c r="AB26" s="79">
        <f t="shared" si="12"/>
        <v>634641485</v>
      </c>
      <c r="AC26" s="40">
        <f t="shared" si="13"/>
        <v>0.7218274610839869</v>
      </c>
      <c r="AD26" s="78">
        <v>111009454</v>
      </c>
      <c r="AE26" s="79">
        <v>64151198</v>
      </c>
      <c r="AF26" s="79">
        <f t="shared" si="14"/>
        <v>175160652</v>
      </c>
      <c r="AG26" s="40">
        <f>IF(962180611=0,0,627951152/962180611)</f>
        <v>0.652633346401947</v>
      </c>
      <c r="AH26" s="40">
        <f t="shared" si="15"/>
        <v>-0.22941026161514855</v>
      </c>
      <c r="AI26" s="12">
        <v>809825834</v>
      </c>
      <c r="AJ26" s="12">
        <v>962180611</v>
      </c>
      <c r="AK26" s="12">
        <v>627951152</v>
      </c>
      <c r="AL26" s="12"/>
    </row>
    <row r="27" spans="1:38" s="57" customFormat="1" ht="12.75">
      <c r="A27" s="62"/>
      <c r="B27" s="63" t="s">
        <v>285</v>
      </c>
      <c r="C27" s="32"/>
      <c r="D27" s="82">
        <f>SUM(D19:D26)</f>
        <v>5440418013</v>
      </c>
      <c r="E27" s="83">
        <f>SUM(E19:E26)</f>
        <v>1104168500</v>
      </c>
      <c r="F27" s="91">
        <f t="shared" si="0"/>
        <v>6544586513</v>
      </c>
      <c r="G27" s="82">
        <f>SUM(G19:G26)</f>
        <v>5653536190</v>
      </c>
      <c r="H27" s="83">
        <f>SUM(H19:H26)</f>
        <v>1170787226</v>
      </c>
      <c r="I27" s="84">
        <f t="shared" si="1"/>
        <v>6824323416</v>
      </c>
      <c r="J27" s="82">
        <f>SUM(J19:J26)</f>
        <v>1344518129</v>
      </c>
      <c r="K27" s="83">
        <f>SUM(K19:K26)</f>
        <v>288418962</v>
      </c>
      <c r="L27" s="83">
        <f t="shared" si="2"/>
        <v>1632937091</v>
      </c>
      <c r="M27" s="44">
        <f t="shared" si="3"/>
        <v>0.24950958899487008</v>
      </c>
      <c r="N27" s="112">
        <f>SUM(N19:N26)</f>
        <v>1290940674</v>
      </c>
      <c r="O27" s="113">
        <f>SUM(O19:O26)</f>
        <v>237516077</v>
      </c>
      <c r="P27" s="114">
        <f t="shared" si="4"/>
        <v>1528456751</v>
      </c>
      <c r="Q27" s="44">
        <f t="shared" si="5"/>
        <v>0.23354519769337795</v>
      </c>
      <c r="R27" s="112">
        <f>SUM(R19:R26)</f>
        <v>1161742157</v>
      </c>
      <c r="S27" s="114">
        <f>SUM(S19:S26)</f>
        <v>127942689</v>
      </c>
      <c r="T27" s="114">
        <f t="shared" si="6"/>
        <v>1289684846</v>
      </c>
      <c r="U27" s="44">
        <f t="shared" si="7"/>
        <v>0.18898354714201604</v>
      </c>
      <c r="V27" s="112">
        <f>SUM(V19:V26)</f>
        <v>0</v>
      </c>
      <c r="W27" s="114">
        <f>SUM(W19:W26)</f>
        <v>0</v>
      </c>
      <c r="X27" s="114">
        <f t="shared" si="8"/>
        <v>0</v>
      </c>
      <c r="Y27" s="44">
        <f t="shared" si="9"/>
        <v>0</v>
      </c>
      <c r="Z27" s="82">
        <f t="shared" si="10"/>
        <v>3797200960</v>
      </c>
      <c r="AA27" s="83">
        <f t="shared" si="11"/>
        <v>653877728</v>
      </c>
      <c r="AB27" s="83">
        <f t="shared" si="12"/>
        <v>4451078688</v>
      </c>
      <c r="AC27" s="44">
        <f t="shared" si="13"/>
        <v>0.6522373599065077</v>
      </c>
      <c r="AD27" s="82">
        <f>SUM(AD19:AD26)</f>
        <v>1016167286</v>
      </c>
      <c r="AE27" s="83">
        <f>SUM(AE19:AE26)</f>
        <v>265865378</v>
      </c>
      <c r="AF27" s="83">
        <f t="shared" si="14"/>
        <v>1282032664</v>
      </c>
      <c r="AG27" s="44">
        <f>IF(962180611=0,0,627951152/962180611)</f>
        <v>0.652633346401947</v>
      </c>
      <c r="AH27" s="44">
        <f t="shared" si="15"/>
        <v>0.005968788639226119</v>
      </c>
      <c r="AI27" s="64">
        <f>SUM(AI19:AI26)</f>
        <v>5680031179</v>
      </c>
      <c r="AJ27" s="64">
        <f>SUM(AJ19:AJ26)</f>
        <v>6274023373</v>
      </c>
      <c r="AK27" s="64">
        <f>SUM(AK19:AK26)</f>
        <v>4183865264</v>
      </c>
      <c r="AL27" s="64"/>
    </row>
    <row r="28" spans="1:38" s="13" customFormat="1" ht="12.75">
      <c r="A28" s="29" t="s">
        <v>95</v>
      </c>
      <c r="B28" s="61" t="s">
        <v>286</v>
      </c>
      <c r="C28" s="39" t="s">
        <v>287</v>
      </c>
      <c r="D28" s="78">
        <v>692261920</v>
      </c>
      <c r="E28" s="79">
        <v>168275000</v>
      </c>
      <c r="F28" s="80">
        <f t="shared" si="0"/>
        <v>860536920</v>
      </c>
      <c r="G28" s="78">
        <v>655582668</v>
      </c>
      <c r="H28" s="79">
        <v>197367598</v>
      </c>
      <c r="I28" s="81">
        <f t="shared" si="1"/>
        <v>852950266</v>
      </c>
      <c r="J28" s="78">
        <v>94035659</v>
      </c>
      <c r="K28" s="79">
        <v>10384229</v>
      </c>
      <c r="L28" s="79">
        <f t="shared" si="2"/>
        <v>104419888</v>
      </c>
      <c r="M28" s="40">
        <f t="shared" si="3"/>
        <v>0.12134271705623043</v>
      </c>
      <c r="N28" s="106">
        <v>186332685</v>
      </c>
      <c r="O28" s="107">
        <v>17910187</v>
      </c>
      <c r="P28" s="108">
        <f t="shared" si="4"/>
        <v>204242872</v>
      </c>
      <c r="Q28" s="40">
        <f t="shared" si="5"/>
        <v>0.23734353198930733</v>
      </c>
      <c r="R28" s="106">
        <v>100769258</v>
      </c>
      <c r="S28" s="108">
        <v>25961632</v>
      </c>
      <c r="T28" s="108">
        <f t="shared" si="6"/>
        <v>126730890</v>
      </c>
      <c r="U28" s="40">
        <f t="shared" si="7"/>
        <v>0.14857946008308062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381137602</v>
      </c>
      <c r="AA28" s="79">
        <f t="shared" si="11"/>
        <v>54256048</v>
      </c>
      <c r="AB28" s="79">
        <f t="shared" si="12"/>
        <v>435393650</v>
      </c>
      <c r="AC28" s="40">
        <f t="shared" si="13"/>
        <v>0.5104560809176182</v>
      </c>
      <c r="AD28" s="78">
        <v>108419279</v>
      </c>
      <c r="AE28" s="79">
        <v>18317313</v>
      </c>
      <c r="AF28" s="79">
        <f t="shared" si="14"/>
        <v>126736592</v>
      </c>
      <c r="AG28" s="40">
        <f>IF(779865202=0,0,398162469/779865202)</f>
        <v>0.5105529365573617</v>
      </c>
      <c r="AH28" s="40">
        <f t="shared" si="15"/>
        <v>-4.4990952573487064E-05</v>
      </c>
      <c r="AI28" s="12">
        <v>745461188</v>
      </c>
      <c r="AJ28" s="12">
        <v>779865202</v>
      </c>
      <c r="AK28" s="12">
        <v>398162469</v>
      </c>
      <c r="AL28" s="12"/>
    </row>
    <row r="29" spans="1:38" s="13" customFormat="1" ht="12.75">
      <c r="A29" s="29" t="s">
        <v>95</v>
      </c>
      <c r="B29" s="61" t="s">
        <v>288</v>
      </c>
      <c r="C29" s="39" t="s">
        <v>289</v>
      </c>
      <c r="D29" s="78">
        <v>60287494</v>
      </c>
      <c r="E29" s="79">
        <v>60201000</v>
      </c>
      <c r="F29" s="80">
        <f t="shared" si="0"/>
        <v>120488494</v>
      </c>
      <c r="G29" s="78">
        <v>64613915</v>
      </c>
      <c r="H29" s="79">
        <v>60877000</v>
      </c>
      <c r="I29" s="81">
        <f t="shared" si="1"/>
        <v>125490915</v>
      </c>
      <c r="J29" s="78">
        <v>7770819</v>
      </c>
      <c r="K29" s="79">
        <v>0</v>
      </c>
      <c r="L29" s="79">
        <f t="shared" si="2"/>
        <v>7770819</v>
      </c>
      <c r="M29" s="40">
        <f t="shared" si="3"/>
        <v>0.06449428274869135</v>
      </c>
      <c r="N29" s="106">
        <v>9054739</v>
      </c>
      <c r="O29" s="107">
        <v>1403603</v>
      </c>
      <c r="P29" s="108">
        <f t="shared" si="4"/>
        <v>10458342</v>
      </c>
      <c r="Q29" s="40">
        <f t="shared" si="5"/>
        <v>0.08679950800945359</v>
      </c>
      <c r="R29" s="106">
        <v>11971176</v>
      </c>
      <c r="S29" s="108">
        <v>42646670</v>
      </c>
      <c r="T29" s="108">
        <f t="shared" si="6"/>
        <v>54617846</v>
      </c>
      <c r="U29" s="40">
        <f t="shared" si="7"/>
        <v>0.43523346690077125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28796734</v>
      </c>
      <c r="AA29" s="79">
        <f t="shared" si="11"/>
        <v>44050273</v>
      </c>
      <c r="AB29" s="79">
        <f t="shared" si="12"/>
        <v>72847007</v>
      </c>
      <c r="AC29" s="40">
        <f t="shared" si="13"/>
        <v>0.5804962614225898</v>
      </c>
      <c r="AD29" s="78">
        <v>12549776</v>
      </c>
      <c r="AE29" s="79">
        <v>6324209</v>
      </c>
      <c r="AF29" s="79">
        <f t="shared" si="14"/>
        <v>18873985</v>
      </c>
      <c r="AG29" s="40">
        <f>IF(111321903=0,0,55702682/111321903)</f>
        <v>0.5003748633366427</v>
      </c>
      <c r="AH29" s="40">
        <f t="shared" si="15"/>
        <v>1.8938163297258104</v>
      </c>
      <c r="AI29" s="12">
        <v>98963403</v>
      </c>
      <c r="AJ29" s="12">
        <v>111321903</v>
      </c>
      <c r="AK29" s="12">
        <v>55702682</v>
      </c>
      <c r="AL29" s="12"/>
    </row>
    <row r="30" spans="1:38" s="13" customFormat="1" ht="12.75">
      <c r="A30" s="29" t="s">
        <v>95</v>
      </c>
      <c r="B30" s="61" t="s">
        <v>290</v>
      </c>
      <c r="C30" s="39" t="s">
        <v>291</v>
      </c>
      <c r="D30" s="78">
        <v>393578519</v>
      </c>
      <c r="E30" s="79">
        <v>34935000</v>
      </c>
      <c r="F30" s="81">
        <f t="shared" si="0"/>
        <v>428513519</v>
      </c>
      <c r="G30" s="78">
        <v>400070555</v>
      </c>
      <c r="H30" s="79">
        <v>14525100</v>
      </c>
      <c r="I30" s="81">
        <f t="shared" si="1"/>
        <v>414595655</v>
      </c>
      <c r="J30" s="78">
        <v>78146255</v>
      </c>
      <c r="K30" s="79">
        <v>5775743</v>
      </c>
      <c r="L30" s="79">
        <f t="shared" si="2"/>
        <v>83921998</v>
      </c>
      <c r="M30" s="40">
        <f t="shared" si="3"/>
        <v>0.19584445829350836</v>
      </c>
      <c r="N30" s="106">
        <v>83019274</v>
      </c>
      <c r="O30" s="107">
        <v>8308988</v>
      </c>
      <c r="P30" s="108">
        <f t="shared" si="4"/>
        <v>91328262</v>
      </c>
      <c r="Q30" s="40">
        <f t="shared" si="5"/>
        <v>0.213128076362977</v>
      </c>
      <c r="R30" s="106">
        <v>61964467</v>
      </c>
      <c r="S30" s="108">
        <v>5718891</v>
      </c>
      <c r="T30" s="108">
        <f t="shared" si="6"/>
        <v>67683358</v>
      </c>
      <c r="U30" s="40">
        <f t="shared" si="7"/>
        <v>0.16325148897182726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223129996</v>
      </c>
      <c r="AA30" s="79">
        <f t="shared" si="11"/>
        <v>19803622</v>
      </c>
      <c r="AB30" s="79">
        <f t="shared" si="12"/>
        <v>242933618</v>
      </c>
      <c r="AC30" s="40">
        <f t="shared" si="13"/>
        <v>0.5859531209993023</v>
      </c>
      <c r="AD30" s="78">
        <v>67794884</v>
      </c>
      <c r="AE30" s="79">
        <v>15286269</v>
      </c>
      <c r="AF30" s="79">
        <f t="shared" si="14"/>
        <v>83081153</v>
      </c>
      <c r="AG30" s="40">
        <f>IF(408152066=0,0,259745871/408152066)</f>
        <v>0.6363948455426904</v>
      </c>
      <c r="AH30" s="40">
        <f t="shared" si="15"/>
        <v>-0.1853343922658367</v>
      </c>
      <c r="AI30" s="12">
        <v>370688191</v>
      </c>
      <c r="AJ30" s="12">
        <v>408152066</v>
      </c>
      <c r="AK30" s="12">
        <v>259745871</v>
      </c>
      <c r="AL30" s="12"/>
    </row>
    <row r="31" spans="1:38" s="13" customFormat="1" ht="12.75">
      <c r="A31" s="29" t="s">
        <v>95</v>
      </c>
      <c r="B31" s="61" t="s">
        <v>292</v>
      </c>
      <c r="C31" s="39" t="s">
        <v>293</v>
      </c>
      <c r="D31" s="78">
        <v>133368546</v>
      </c>
      <c r="E31" s="79">
        <v>81062302</v>
      </c>
      <c r="F31" s="80">
        <f t="shared" si="0"/>
        <v>214430848</v>
      </c>
      <c r="G31" s="78">
        <v>151509864</v>
      </c>
      <c r="H31" s="79">
        <v>116975061</v>
      </c>
      <c r="I31" s="81">
        <f t="shared" si="1"/>
        <v>268484925</v>
      </c>
      <c r="J31" s="78">
        <v>25838057</v>
      </c>
      <c r="K31" s="79">
        <v>22618868</v>
      </c>
      <c r="L31" s="79">
        <f t="shared" si="2"/>
        <v>48456925</v>
      </c>
      <c r="M31" s="40">
        <f t="shared" si="3"/>
        <v>0.22597926302096236</v>
      </c>
      <c r="N31" s="106">
        <v>44409260</v>
      </c>
      <c r="O31" s="107">
        <v>23782132</v>
      </c>
      <c r="P31" s="108">
        <f t="shared" si="4"/>
        <v>68191392</v>
      </c>
      <c r="Q31" s="40">
        <f t="shared" si="5"/>
        <v>0.31801111004327137</v>
      </c>
      <c r="R31" s="106">
        <v>29715331</v>
      </c>
      <c r="S31" s="108">
        <v>18434147</v>
      </c>
      <c r="T31" s="108">
        <f t="shared" si="6"/>
        <v>48149478</v>
      </c>
      <c r="U31" s="40">
        <f t="shared" si="7"/>
        <v>0.1793377337666165</v>
      </c>
      <c r="V31" s="106">
        <v>0</v>
      </c>
      <c r="W31" s="108">
        <v>0</v>
      </c>
      <c r="X31" s="108">
        <f t="shared" si="8"/>
        <v>0</v>
      </c>
      <c r="Y31" s="40">
        <f t="shared" si="9"/>
        <v>0</v>
      </c>
      <c r="Z31" s="78">
        <f t="shared" si="10"/>
        <v>99962648</v>
      </c>
      <c r="AA31" s="79">
        <f t="shared" si="11"/>
        <v>64835147</v>
      </c>
      <c r="AB31" s="79">
        <f t="shared" si="12"/>
        <v>164797795</v>
      </c>
      <c r="AC31" s="40">
        <f t="shared" si="13"/>
        <v>0.6138065107379865</v>
      </c>
      <c r="AD31" s="78">
        <v>21830037</v>
      </c>
      <c r="AE31" s="79">
        <v>14652098</v>
      </c>
      <c r="AF31" s="79">
        <f t="shared" si="14"/>
        <v>36482135</v>
      </c>
      <c r="AG31" s="40">
        <f>IF(207869686=0,0,110528765/207869686)</f>
        <v>0.5317214218527275</v>
      </c>
      <c r="AH31" s="40">
        <f t="shared" si="15"/>
        <v>0.31980976442305264</v>
      </c>
      <c r="AI31" s="12">
        <v>163524839</v>
      </c>
      <c r="AJ31" s="12">
        <v>207869686</v>
      </c>
      <c r="AK31" s="12">
        <v>110528765</v>
      </c>
      <c r="AL31" s="12"/>
    </row>
    <row r="32" spans="1:38" s="13" customFormat="1" ht="12.75">
      <c r="A32" s="29" t="s">
        <v>95</v>
      </c>
      <c r="B32" s="61" t="s">
        <v>294</v>
      </c>
      <c r="C32" s="39" t="s">
        <v>295</v>
      </c>
      <c r="D32" s="78">
        <v>128010131</v>
      </c>
      <c r="E32" s="79">
        <v>28349594</v>
      </c>
      <c r="F32" s="80">
        <f t="shared" si="0"/>
        <v>156359725</v>
      </c>
      <c r="G32" s="78">
        <v>111115637</v>
      </c>
      <c r="H32" s="79">
        <v>28349594</v>
      </c>
      <c r="I32" s="81">
        <f t="shared" si="1"/>
        <v>139465231</v>
      </c>
      <c r="J32" s="78">
        <v>23814713</v>
      </c>
      <c r="K32" s="79">
        <v>8790889</v>
      </c>
      <c r="L32" s="79">
        <f t="shared" si="2"/>
        <v>32605602</v>
      </c>
      <c r="M32" s="40">
        <f t="shared" si="3"/>
        <v>0.2085294151035377</v>
      </c>
      <c r="N32" s="106">
        <v>30886088</v>
      </c>
      <c r="O32" s="107">
        <v>9752661</v>
      </c>
      <c r="P32" s="108">
        <f t="shared" si="4"/>
        <v>40638749</v>
      </c>
      <c r="Q32" s="40">
        <f t="shared" si="5"/>
        <v>0.25990547757742605</v>
      </c>
      <c r="R32" s="106">
        <v>24592844</v>
      </c>
      <c r="S32" s="108">
        <v>4271674</v>
      </c>
      <c r="T32" s="108">
        <f t="shared" si="6"/>
        <v>28864518</v>
      </c>
      <c r="U32" s="40">
        <f t="shared" si="7"/>
        <v>0.20696569168554993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79293645</v>
      </c>
      <c r="AA32" s="79">
        <f t="shared" si="11"/>
        <v>22815224</v>
      </c>
      <c r="AB32" s="79">
        <f t="shared" si="12"/>
        <v>102108869</v>
      </c>
      <c r="AC32" s="40">
        <f t="shared" si="13"/>
        <v>0.7321456987369132</v>
      </c>
      <c r="AD32" s="78">
        <v>26558209</v>
      </c>
      <c r="AE32" s="79">
        <v>4928384</v>
      </c>
      <c r="AF32" s="79">
        <f t="shared" si="14"/>
        <v>31486593</v>
      </c>
      <c r="AG32" s="40">
        <f>IF(135063979=0,0,101587643/135063979)</f>
        <v>0.7521446040028186</v>
      </c>
      <c r="AH32" s="40">
        <f t="shared" si="15"/>
        <v>-0.08327592000823969</v>
      </c>
      <c r="AI32" s="12">
        <v>114892034</v>
      </c>
      <c r="AJ32" s="12">
        <v>135063979</v>
      </c>
      <c r="AK32" s="12">
        <v>101587643</v>
      </c>
      <c r="AL32" s="12"/>
    </row>
    <row r="33" spans="1:38" s="13" customFormat="1" ht="12.75">
      <c r="A33" s="29" t="s">
        <v>114</v>
      </c>
      <c r="B33" s="61" t="s">
        <v>296</v>
      </c>
      <c r="C33" s="39" t="s">
        <v>297</v>
      </c>
      <c r="D33" s="78">
        <v>580552331</v>
      </c>
      <c r="E33" s="79">
        <v>319070000</v>
      </c>
      <c r="F33" s="80">
        <f t="shared" si="0"/>
        <v>899622331</v>
      </c>
      <c r="G33" s="78">
        <v>570909955</v>
      </c>
      <c r="H33" s="79">
        <v>260903278</v>
      </c>
      <c r="I33" s="81">
        <f t="shared" si="1"/>
        <v>831813233</v>
      </c>
      <c r="J33" s="78">
        <v>96184722</v>
      </c>
      <c r="K33" s="79">
        <v>25207229</v>
      </c>
      <c r="L33" s="79">
        <f t="shared" si="2"/>
        <v>121391951</v>
      </c>
      <c r="M33" s="40">
        <f t="shared" si="3"/>
        <v>0.13493656928798492</v>
      </c>
      <c r="N33" s="106">
        <v>123874898</v>
      </c>
      <c r="O33" s="107">
        <v>51581183</v>
      </c>
      <c r="P33" s="108">
        <f t="shared" si="4"/>
        <v>175456081</v>
      </c>
      <c r="Q33" s="40">
        <f t="shared" si="5"/>
        <v>0.19503304326046125</v>
      </c>
      <c r="R33" s="106">
        <v>182115124</v>
      </c>
      <c r="S33" s="108">
        <v>20902000</v>
      </c>
      <c r="T33" s="108">
        <f t="shared" si="6"/>
        <v>203017124</v>
      </c>
      <c r="U33" s="40">
        <f t="shared" si="7"/>
        <v>0.24406575412103357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402174744</v>
      </c>
      <c r="AA33" s="79">
        <f t="shared" si="11"/>
        <v>97690412</v>
      </c>
      <c r="AB33" s="79">
        <f t="shared" si="12"/>
        <v>499865156</v>
      </c>
      <c r="AC33" s="40">
        <f t="shared" si="13"/>
        <v>0.6009343638321272</v>
      </c>
      <c r="AD33" s="78">
        <v>81843729</v>
      </c>
      <c r="AE33" s="79">
        <v>57310000</v>
      </c>
      <c r="AF33" s="79">
        <f t="shared" si="14"/>
        <v>139153729</v>
      </c>
      <c r="AG33" s="40">
        <f>IF(824617813=0,0,458538692/824617813)</f>
        <v>0.5560620747832427</v>
      </c>
      <c r="AH33" s="40">
        <f t="shared" si="15"/>
        <v>0.4589413123093524</v>
      </c>
      <c r="AI33" s="12">
        <v>744062529</v>
      </c>
      <c r="AJ33" s="12">
        <v>824617813</v>
      </c>
      <c r="AK33" s="12">
        <v>458538692</v>
      </c>
      <c r="AL33" s="12"/>
    </row>
    <row r="34" spans="1:38" s="57" customFormat="1" ht="12.75">
      <c r="A34" s="62"/>
      <c r="B34" s="63" t="s">
        <v>298</v>
      </c>
      <c r="C34" s="32"/>
      <c r="D34" s="82">
        <f>SUM(D28:D33)</f>
        <v>1988058941</v>
      </c>
      <c r="E34" s="83">
        <f>SUM(E28:E33)</f>
        <v>691892896</v>
      </c>
      <c r="F34" s="91">
        <f t="shared" si="0"/>
        <v>2679951837</v>
      </c>
      <c r="G34" s="82">
        <f>SUM(G28:G33)</f>
        <v>1953802594</v>
      </c>
      <c r="H34" s="83">
        <f>SUM(H28:H33)</f>
        <v>678997631</v>
      </c>
      <c r="I34" s="84">
        <f t="shared" si="1"/>
        <v>2632800225</v>
      </c>
      <c r="J34" s="82">
        <f>SUM(J28:J33)</f>
        <v>325790225</v>
      </c>
      <c r="K34" s="83">
        <f>SUM(K28:K33)</f>
        <v>72776958</v>
      </c>
      <c r="L34" s="83">
        <f t="shared" si="2"/>
        <v>398567183</v>
      </c>
      <c r="M34" s="44">
        <f t="shared" si="3"/>
        <v>0.14872177085322746</v>
      </c>
      <c r="N34" s="112">
        <f>SUM(N28:N33)</f>
        <v>477576944</v>
      </c>
      <c r="O34" s="113">
        <f>SUM(O28:O33)</f>
        <v>112738754</v>
      </c>
      <c r="P34" s="114">
        <f t="shared" si="4"/>
        <v>590315698</v>
      </c>
      <c r="Q34" s="44">
        <f t="shared" si="5"/>
        <v>0.22027101004203606</v>
      </c>
      <c r="R34" s="112">
        <f>SUM(R28:R33)</f>
        <v>411128200</v>
      </c>
      <c r="S34" s="114">
        <f>SUM(S28:S33)</f>
        <v>117935014</v>
      </c>
      <c r="T34" s="114">
        <f t="shared" si="6"/>
        <v>529063214</v>
      </c>
      <c r="U34" s="44">
        <f t="shared" si="7"/>
        <v>0.20095076298468487</v>
      </c>
      <c r="V34" s="112">
        <f>SUM(V28:V33)</f>
        <v>0</v>
      </c>
      <c r="W34" s="114">
        <f>SUM(W28:W33)</f>
        <v>0</v>
      </c>
      <c r="X34" s="114">
        <f t="shared" si="8"/>
        <v>0</v>
      </c>
      <c r="Y34" s="44">
        <f t="shared" si="9"/>
        <v>0</v>
      </c>
      <c r="Z34" s="82">
        <f t="shared" si="10"/>
        <v>1214495369</v>
      </c>
      <c r="AA34" s="83">
        <f t="shared" si="11"/>
        <v>303450726</v>
      </c>
      <c r="AB34" s="83">
        <f t="shared" si="12"/>
        <v>1517946095</v>
      </c>
      <c r="AC34" s="44">
        <f t="shared" si="13"/>
        <v>0.5765519467015391</v>
      </c>
      <c r="AD34" s="82">
        <f>SUM(AD28:AD33)</f>
        <v>318995914</v>
      </c>
      <c r="AE34" s="83">
        <f>SUM(AE28:AE33)</f>
        <v>116818273</v>
      </c>
      <c r="AF34" s="83">
        <f t="shared" si="14"/>
        <v>435814187</v>
      </c>
      <c r="AG34" s="44">
        <f>IF(824617813=0,0,458538692/824617813)</f>
        <v>0.5560620747832427</v>
      </c>
      <c r="AH34" s="44">
        <f t="shared" si="15"/>
        <v>0.2139651020585065</v>
      </c>
      <c r="AI34" s="64">
        <f>SUM(AI28:AI33)</f>
        <v>2237592184</v>
      </c>
      <c r="AJ34" s="64">
        <f>SUM(AJ28:AJ33)</f>
        <v>2466890649</v>
      </c>
      <c r="AK34" s="64">
        <f>SUM(AK28:AK33)</f>
        <v>1384266122</v>
      </c>
      <c r="AL34" s="64"/>
    </row>
    <row r="35" spans="1:38" s="13" customFormat="1" ht="12.75">
      <c r="A35" s="29" t="s">
        <v>95</v>
      </c>
      <c r="B35" s="61" t="s">
        <v>299</v>
      </c>
      <c r="C35" s="39" t="s">
        <v>300</v>
      </c>
      <c r="D35" s="78">
        <v>258211165</v>
      </c>
      <c r="E35" s="79">
        <v>45843900</v>
      </c>
      <c r="F35" s="80">
        <f t="shared" si="0"/>
        <v>304055065</v>
      </c>
      <c r="G35" s="78">
        <v>259553970</v>
      </c>
      <c r="H35" s="79">
        <v>48769940</v>
      </c>
      <c r="I35" s="81">
        <f t="shared" si="1"/>
        <v>308323910</v>
      </c>
      <c r="J35" s="78">
        <v>55440730</v>
      </c>
      <c r="K35" s="79">
        <v>3598968</v>
      </c>
      <c r="L35" s="79">
        <f t="shared" si="2"/>
        <v>59039698</v>
      </c>
      <c r="M35" s="40">
        <f t="shared" si="3"/>
        <v>0.19417436114737968</v>
      </c>
      <c r="N35" s="106">
        <v>52597225</v>
      </c>
      <c r="O35" s="107">
        <v>3342315</v>
      </c>
      <c r="P35" s="108">
        <f t="shared" si="4"/>
        <v>55939540</v>
      </c>
      <c r="Q35" s="40">
        <f t="shared" si="5"/>
        <v>0.1839783198480841</v>
      </c>
      <c r="R35" s="106">
        <v>56335833</v>
      </c>
      <c r="S35" s="108">
        <v>4606557</v>
      </c>
      <c r="T35" s="108">
        <f t="shared" si="6"/>
        <v>60942390</v>
      </c>
      <c r="U35" s="40">
        <f t="shared" si="7"/>
        <v>0.19765703542096363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164373788</v>
      </c>
      <c r="AA35" s="79">
        <f t="shared" si="11"/>
        <v>11547840</v>
      </c>
      <c r="AB35" s="79">
        <f t="shared" si="12"/>
        <v>175921628</v>
      </c>
      <c r="AC35" s="40">
        <f t="shared" si="13"/>
        <v>0.5705740693285837</v>
      </c>
      <c r="AD35" s="78">
        <v>46597014</v>
      </c>
      <c r="AE35" s="79">
        <v>4475340</v>
      </c>
      <c r="AF35" s="79">
        <f t="shared" si="14"/>
        <v>51072354</v>
      </c>
      <c r="AG35" s="40">
        <f>IF(265738533=0,0,158685220/265738533)</f>
        <v>0.5971479491835684</v>
      </c>
      <c r="AH35" s="40">
        <f t="shared" si="15"/>
        <v>0.19325594430207782</v>
      </c>
      <c r="AI35" s="12">
        <v>264178022</v>
      </c>
      <c r="AJ35" s="12">
        <v>265738533</v>
      </c>
      <c r="AK35" s="12">
        <v>158685220</v>
      </c>
      <c r="AL35" s="12"/>
    </row>
    <row r="36" spans="1:38" s="13" customFormat="1" ht="12.75">
      <c r="A36" s="29" t="s">
        <v>95</v>
      </c>
      <c r="B36" s="61" t="s">
        <v>301</v>
      </c>
      <c r="C36" s="39" t="s">
        <v>302</v>
      </c>
      <c r="D36" s="78">
        <v>127240442</v>
      </c>
      <c r="E36" s="79">
        <v>115392000</v>
      </c>
      <c r="F36" s="80">
        <f t="shared" si="0"/>
        <v>242632442</v>
      </c>
      <c r="G36" s="78">
        <v>132827559</v>
      </c>
      <c r="H36" s="79">
        <v>141025705</v>
      </c>
      <c r="I36" s="81">
        <f t="shared" si="1"/>
        <v>273853264</v>
      </c>
      <c r="J36" s="78">
        <v>24581788</v>
      </c>
      <c r="K36" s="79">
        <v>30995807</v>
      </c>
      <c r="L36" s="79">
        <f t="shared" si="2"/>
        <v>55577595</v>
      </c>
      <c r="M36" s="40">
        <f t="shared" si="3"/>
        <v>0.22906085658569927</v>
      </c>
      <c r="N36" s="106">
        <v>29476073</v>
      </c>
      <c r="O36" s="107">
        <v>21880959</v>
      </c>
      <c r="P36" s="108">
        <f t="shared" si="4"/>
        <v>51357032</v>
      </c>
      <c r="Q36" s="40">
        <f t="shared" si="5"/>
        <v>0.21166597334086099</v>
      </c>
      <c r="R36" s="106">
        <v>31945177</v>
      </c>
      <c r="S36" s="108">
        <v>36797650</v>
      </c>
      <c r="T36" s="108">
        <f t="shared" si="6"/>
        <v>68742827</v>
      </c>
      <c r="U36" s="40">
        <f t="shared" si="7"/>
        <v>0.2510206597354998</v>
      </c>
      <c r="V36" s="106">
        <v>0</v>
      </c>
      <c r="W36" s="108">
        <v>0</v>
      </c>
      <c r="X36" s="108">
        <f t="shared" si="8"/>
        <v>0</v>
      </c>
      <c r="Y36" s="40">
        <f t="shared" si="9"/>
        <v>0</v>
      </c>
      <c r="Z36" s="78">
        <f t="shared" si="10"/>
        <v>86003038</v>
      </c>
      <c r="AA36" s="79">
        <f t="shared" si="11"/>
        <v>89674416</v>
      </c>
      <c r="AB36" s="79">
        <f t="shared" si="12"/>
        <v>175677454</v>
      </c>
      <c r="AC36" s="40">
        <f t="shared" si="13"/>
        <v>0.6415021367063202</v>
      </c>
      <c r="AD36" s="78">
        <v>27212519</v>
      </c>
      <c r="AE36" s="79">
        <v>7899047</v>
      </c>
      <c r="AF36" s="79">
        <f t="shared" si="14"/>
        <v>35111566</v>
      </c>
      <c r="AG36" s="40">
        <f>IF(221317158=0,0,112521263/221317158)</f>
        <v>0.5084163560423092</v>
      </c>
      <c r="AH36" s="40">
        <f t="shared" si="15"/>
        <v>0.9578399607696222</v>
      </c>
      <c r="AI36" s="12">
        <v>191105361</v>
      </c>
      <c r="AJ36" s="12">
        <v>221317158</v>
      </c>
      <c r="AK36" s="12">
        <v>112521263</v>
      </c>
      <c r="AL36" s="12"/>
    </row>
    <row r="37" spans="1:38" s="13" customFormat="1" ht="12.75">
      <c r="A37" s="29" t="s">
        <v>95</v>
      </c>
      <c r="B37" s="61" t="s">
        <v>303</v>
      </c>
      <c r="C37" s="39" t="s">
        <v>304</v>
      </c>
      <c r="D37" s="78">
        <v>216101711</v>
      </c>
      <c r="E37" s="79">
        <v>58048000</v>
      </c>
      <c r="F37" s="80">
        <f t="shared" si="0"/>
        <v>274149711</v>
      </c>
      <c r="G37" s="78">
        <v>216101711</v>
      </c>
      <c r="H37" s="79">
        <v>58048000</v>
      </c>
      <c r="I37" s="81">
        <f t="shared" si="1"/>
        <v>274149711</v>
      </c>
      <c r="J37" s="78">
        <v>19509640</v>
      </c>
      <c r="K37" s="79">
        <v>7522648</v>
      </c>
      <c r="L37" s="79">
        <f t="shared" si="2"/>
        <v>27032288</v>
      </c>
      <c r="M37" s="40">
        <f t="shared" si="3"/>
        <v>0.0986041090519333</v>
      </c>
      <c r="N37" s="106">
        <v>24763759</v>
      </c>
      <c r="O37" s="107">
        <v>16384452</v>
      </c>
      <c r="P37" s="108">
        <f t="shared" si="4"/>
        <v>41148211</v>
      </c>
      <c r="Q37" s="40">
        <f t="shared" si="5"/>
        <v>0.15009394264873036</v>
      </c>
      <c r="R37" s="106">
        <v>18486759</v>
      </c>
      <c r="S37" s="108">
        <v>234615</v>
      </c>
      <c r="T37" s="108">
        <f t="shared" si="6"/>
        <v>18721374</v>
      </c>
      <c r="U37" s="40">
        <f t="shared" si="7"/>
        <v>0.0682888700911306</v>
      </c>
      <c r="V37" s="106">
        <v>0</v>
      </c>
      <c r="W37" s="108">
        <v>0</v>
      </c>
      <c r="X37" s="108">
        <f t="shared" si="8"/>
        <v>0</v>
      </c>
      <c r="Y37" s="40">
        <f t="shared" si="9"/>
        <v>0</v>
      </c>
      <c r="Z37" s="78">
        <f t="shared" si="10"/>
        <v>62760158</v>
      </c>
      <c r="AA37" s="79">
        <f t="shared" si="11"/>
        <v>24141715</v>
      </c>
      <c r="AB37" s="79">
        <f t="shared" si="12"/>
        <v>86901873</v>
      </c>
      <c r="AC37" s="40">
        <f t="shared" si="13"/>
        <v>0.3169869217917943</v>
      </c>
      <c r="AD37" s="78">
        <v>18031924</v>
      </c>
      <c r="AE37" s="79">
        <v>22154109</v>
      </c>
      <c r="AF37" s="79">
        <f t="shared" si="14"/>
        <v>40186033</v>
      </c>
      <c r="AG37" s="40">
        <f>IF(216105000=0,0,84802467/216105000)</f>
        <v>0.3924132574442979</v>
      </c>
      <c r="AH37" s="40">
        <f t="shared" si="15"/>
        <v>-0.5341323190572207</v>
      </c>
      <c r="AI37" s="12">
        <v>172192766</v>
      </c>
      <c r="AJ37" s="12">
        <v>216105000</v>
      </c>
      <c r="AK37" s="12">
        <v>84802467</v>
      </c>
      <c r="AL37" s="12"/>
    </row>
    <row r="38" spans="1:38" s="13" customFormat="1" ht="12.75">
      <c r="A38" s="29" t="s">
        <v>95</v>
      </c>
      <c r="B38" s="61" t="s">
        <v>305</v>
      </c>
      <c r="C38" s="39" t="s">
        <v>306</v>
      </c>
      <c r="D38" s="78">
        <v>207773000</v>
      </c>
      <c r="E38" s="79">
        <v>105731000</v>
      </c>
      <c r="F38" s="80">
        <f t="shared" si="0"/>
        <v>313504000</v>
      </c>
      <c r="G38" s="78">
        <v>337805473</v>
      </c>
      <c r="H38" s="79">
        <v>84545000</v>
      </c>
      <c r="I38" s="81">
        <f t="shared" si="1"/>
        <v>422350473</v>
      </c>
      <c r="J38" s="78">
        <v>36230172</v>
      </c>
      <c r="K38" s="79">
        <v>24617425</v>
      </c>
      <c r="L38" s="79">
        <f t="shared" si="2"/>
        <v>60847597</v>
      </c>
      <c r="M38" s="40">
        <f t="shared" si="3"/>
        <v>0.19408874208941512</v>
      </c>
      <c r="N38" s="106">
        <v>44891222</v>
      </c>
      <c r="O38" s="107">
        <v>17428453</v>
      </c>
      <c r="P38" s="108">
        <f t="shared" si="4"/>
        <v>62319675</v>
      </c>
      <c r="Q38" s="40">
        <f t="shared" si="5"/>
        <v>0.19878430578238238</v>
      </c>
      <c r="R38" s="106">
        <v>70724816</v>
      </c>
      <c r="S38" s="108">
        <v>9841230</v>
      </c>
      <c r="T38" s="108">
        <f t="shared" si="6"/>
        <v>80566046</v>
      </c>
      <c r="U38" s="40">
        <f t="shared" si="7"/>
        <v>0.19075637687281577</v>
      </c>
      <c r="V38" s="106">
        <v>0</v>
      </c>
      <c r="W38" s="108">
        <v>0</v>
      </c>
      <c r="X38" s="108">
        <f t="shared" si="8"/>
        <v>0</v>
      </c>
      <c r="Y38" s="40">
        <f t="shared" si="9"/>
        <v>0</v>
      </c>
      <c r="Z38" s="78">
        <f t="shared" si="10"/>
        <v>151846210</v>
      </c>
      <c r="AA38" s="79">
        <f t="shared" si="11"/>
        <v>51887108</v>
      </c>
      <c r="AB38" s="79">
        <f t="shared" si="12"/>
        <v>203733318</v>
      </c>
      <c r="AC38" s="40">
        <f t="shared" si="13"/>
        <v>0.48237975573428565</v>
      </c>
      <c r="AD38" s="78">
        <v>59266921</v>
      </c>
      <c r="AE38" s="79">
        <v>12115160</v>
      </c>
      <c r="AF38" s="79">
        <f t="shared" si="14"/>
        <v>71382081</v>
      </c>
      <c r="AG38" s="40">
        <f>IF(260927276=0,0,159008528/260927276)</f>
        <v>0.6093978768244988</v>
      </c>
      <c r="AH38" s="40">
        <f t="shared" si="15"/>
        <v>0.1286592499313659</v>
      </c>
      <c r="AI38" s="12">
        <v>285348497</v>
      </c>
      <c r="AJ38" s="12">
        <v>260927276</v>
      </c>
      <c r="AK38" s="12">
        <v>159008528</v>
      </c>
      <c r="AL38" s="12"/>
    </row>
    <row r="39" spans="1:38" s="13" customFormat="1" ht="12.75">
      <c r="A39" s="29" t="s">
        <v>114</v>
      </c>
      <c r="B39" s="61" t="s">
        <v>307</v>
      </c>
      <c r="C39" s="39" t="s">
        <v>308</v>
      </c>
      <c r="D39" s="78">
        <v>405027316</v>
      </c>
      <c r="E39" s="79">
        <v>424875000</v>
      </c>
      <c r="F39" s="80">
        <f t="shared" si="0"/>
        <v>829902316</v>
      </c>
      <c r="G39" s="78">
        <v>440752081</v>
      </c>
      <c r="H39" s="79">
        <v>419841033</v>
      </c>
      <c r="I39" s="81">
        <f t="shared" si="1"/>
        <v>860593114</v>
      </c>
      <c r="J39" s="78">
        <v>62795318</v>
      </c>
      <c r="K39" s="79">
        <v>108844046</v>
      </c>
      <c r="L39" s="79">
        <f t="shared" si="2"/>
        <v>171639364</v>
      </c>
      <c r="M39" s="40">
        <f t="shared" si="3"/>
        <v>0.20681875528107335</v>
      </c>
      <c r="N39" s="106">
        <v>150026065</v>
      </c>
      <c r="O39" s="107">
        <v>136065317</v>
      </c>
      <c r="P39" s="108">
        <f t="shared" si="4"/>
        <v>286091382</v>
      </c>
      <c r="Q39" s="40">
        <f t="shared" si="5"/>
        <v>0.3447289837422264</v>
      </c>
      <c r="R39" s="106">
        <v>90013065</v>
      </c>
      <c r="S39" s="108">
        <v>73792511</v>
      </c>
      <c r="T39" s="108">
        <f t="shared" si="6"/>
        <v>163805576</v>
      </c>
      <c r="U39" s="40">
        <f t="shared" si="7"/>
        <v>0.19034032847257942</v>
      </c>
      <c r="V39" s="106">
        <v>0</v>
      </c>
      <c r="W39" s="108">
        <v>0</v>
      </c>
      <c r="X39" s="108">
        <f t="shared" si="8"/>
        <v>0</v>
      </c>
      <c r="Y39" s="40">
        <f t="shared" si="9"/>
        <v>0</v>
      </c>
      <c r="Z39" s="78">
        <f t="shared" si="10"/>
        <v>302834448</v>
      </c>
      <c r="AA39" s="79">
        <f t="shared" si="11"/>
        <v>318701874</v>
      </c>
      <c r="AB39" s="79">
        <f t="shared" si="12"/>
        <v>621536322</v>
      </c>
      <c r="AC39" s="40">
        <f t="shared" si="13"/>
        <v>0.7222185628596606</v>
      </c>
      <c r="AD39" s="78">
        <v>66987033</v>
      </c>
      <c r="AE39" s="79">
        <v>25691639</v>
      </c>
      <c r="AF39" s="79">
        <f t="shared" si="14"/>
        <v>92678672</v>
      </c>
      <c r="AG39" s="40">
        <f>IF(823846050=0,0,445771305/823846050)</f>
        <v>0.5410856858511369</v>
      </c>
      <c r="AH39" s="40">
        <f t="shared" si="15"/>
        <v>0.7674570908827869</v>
      </c>
      <c r="AI39" s="12">
        <v>760477262</v>
      </c>
      <c r="AJ39" s="12">
        <v>823846050</v>
      </c>
      <c r="AK39" s="12">
        <v>445771305</v>
      </c>
      <c r="AL39" s="12"/>
    </row>
    <row r="40" spans="1:38" s="57" customFormat="1" ht="12.75">
      <c r="A40" s="62"/>
      <c r="B40" s="63" t="s">
        <v>309</v>
      </c>
      <c r="C40" s="32"/>
      <c r="D40" s="82">
        <f>SUM(D35:D39)</f>
        <v>1214353634</v>
      </c>
      <c r="E40" s="83">
        <f>SUM(E35:E39)</f>
        <v>749889900</v>
      </c>
      <c r="F40" s="84">
        <f t="shared" si="0"/>
        <v>1964243534</v>
      </c>
      <c r="G40" s="82">
        <f>SUM(G35:G39)</f>
        <v>1387040794</v>
      </c>
      <c r="H40" s="83">
        <f>SUM(H35:H39)</f>
        <v>752229678</v>
      </c>
      <c r="I40" s="84">
        <f t="shared" si="1"/>
        <v>2139270472</v>
      </c>
      <c r="J40" s="82">
        <f>SUM(J35:J39)</f>
        <v>198557648</v>
      </c>
      <c r="K40" s="83">
        <f>SUM(K35:K39)</f>
        <v>175578894</v>
      </c>
      <c r="L40" s="83">
        <f t="shared" si="2"/>
        <v>374136542</v>
      </c>
      <c r="M40" s="44">
        <f t="shared" si="3"/>
        <v>0.19047360244485856</v>
      </c>
      <c r="N40" s="112">
        <f>SUM(N35:N39)</f>
        <v>301754344</v>
      </c>
      <c r="O40" s="113">
        <f>SUM(O35:O39)</f>
        <v>195101496</v>
      </c>
      <c r="P40" s="114">
        <f t="shared" si="4"/>
        <v>496855840</v>
      </c>
      <c r="Q40" s="44">
        <f t="shared" si="5"/>
        <v>0.25295022302463643</v>
      </c>
      <c r="R40" s="112">
        <f>SUM(R35:R39)</f>
        <v>267505650</v>
      </c>
      <c r="S40" s="114">
        <f>SUM(S35:S39)</f>
        <v>125272563</v>
      </c>
      <c r="T40" s="114">
        <f t="shared" si="6"/>
        <v>392778213</v>
      </c>
      <c r="U40" s="44">
        <f t="shared" si="7"/>
        <v>0.18360381173905158</v>
      </c>
      <c r="V40" s="112">
        <f>SUM(V35:V39)</f>
        <v>0</v>
      </c>
      <c r="W40" s="114">
        <f>SUM(W35:W39)</f>
        <v>0</v>
      </c>
      <c r="X40" s="114">
        <f t="shared" si="8"/>
        <v>0</v>
      </c>
      <c r="Y40" s="44">
        <f t="shared" si="9"/>
        <v>0</v>
      </c>
      <c r="Z40" s="82">
        <f t="shared" si="10"/>
        <v>767817642</v>
      </c>
      <c r="AA40" s="83">
        <f t="shared" si="11"/>
        <v>495952953</v>
      </c>
      <c r="AB40" s="83">
        <f t="shared" si="12"/>
        <v>1263770595</v>
      </c>
      <c r="AC40" s="44">
        <f t="shared" si="13"/>
        <v>0.5907483936888557</v>
      </c>
      <c r="AD40" s="82">
        <f>SUM(AD35:AD39)</f>
        <v>218095411</v>
      </c>
      <c r="AE40" s="83">
        <f>SUM(AE35:AE39)</f>
        <v>72335295</v>
      </c>
      <c r="AF40" s="83">
        <f t="shared" si="14"/>
        <v>290430706</v>
      </c>
      <c r="AG40" s="44">
        <f>IF(823846050=0,0,445771305/823846050)</f>
        <v>0.5410856858511369</v>
      </c>
      <c r="AH40" s="44">
        <f t="shared" si="15"/>
        <v>0.35239905728149834</v>
      </c>
      <c r="AI40" s="64">
        <f>SUM(AI35:AI39)</f>
        <v>1673301908</v>
      </c>
      <c r="AJ40" s="64">
        <f>SUM(AJ35:AJ39)</f>
        <v>1787934017</v>
      </c>
      <c r="AK40" s="64">
        <f>SUM(AK35:AK39)</f>
        <v>960788783</v>
      </c>
      <c r="AL40" s="64"/>
    </row>
    <row r="41" spans="1:38" s="13" customFormat="1" ht="12.75">
      <c r="A41" s="29" t="s">
        <v>95</v>
      </c>
      <c r="B41" s="61" t="s">
        <v>77</v>
      </c>
      <c r="C41" s="39" t="s">
        <v>78</v>
      </c>
      <c r="D41" s="78">
        <v>1834687750</v>
      </c>
      <c r="E41" s="79">
        <v>400509490</v>
      </c>
      <c r="F41" s="80">
        <f t="shared" si="0"/>
        <v>2235197240</v>
      </c>
      <c r="G41" s="78">
        <v>1894525000</v>
      </c>
      <c r="H41" s="79">
        <v>389559958</v>
      </c>
      <c r="I41" s="81">
        <f t="shared" si="1"/>
        <v>2284084958</v>
      </c>
      <c r="J41" s="78">
        <v>469223015</v>
      </c>
      <c r="K41" s="79">
        <v>42408572</v>
      </c>
      <c r="L41" s="79">
        <f t="shared" si="2"/>
        <v>511631587</v>
      </c>
      <c r="M41" s="40">
        <f t="shared" si="3"/>
        <v>0.2288977356647058</v>
      </c>
      <c r="N41" s="106">
        <v>448420712</v>
      </c>
      <c r="O41" s="107">
        <v>93179558</v>
      </c>
      <c r="P41" s="108">
        <f t="shared" si="4"/>
        <v>541600270</v>
      </c>
      <c r="Q41" s="40">
        <f t="shared" si="5"/>
        <v>0.24230535914584433</v>
      </c>
      <c r="R41" s="106">
        <v>440128185</v>
      </c>
      <c r="S41" s="108">
        <v>85718785</v>
      </c>
      <c r="T41" s="108">
        <f t="shared" si="6"/>
        <v>525846970</v>
      </c>
      <c r="U41" s="40">
        <f t="shared" si="7"/>
        <v>0.23022215883792882</v>
      </c>
      <c r="V41" s="106">
        <v>0</v>
      </c>
      <c r="W41" s="108">
        <v>0</v>
      </c>
      <c r="X41" s="108">
        <f t="shared" si="8"/>
        <v>0</v>
      </c>
      <c r="Y41" s="40">
        <f t="shared" si="9"/>
        <v>0</v>
      </c>
      <c r="Z41" s="78">
        <f t="shared" si="10"/>
        <v>1357771912</v>
      </c>
      <c r="AA41" s="79">
        <f t="shared" si="11"/>
        <v>221306915</v>
      </c>
      <c r="AB41" s="79">
        <f t="shared" si="12"/>
        <v>1579078827</v>
      </c>
      <c r="AC41" s="40">
        <f t="shared" si="13"/>
        <v>0.6913397951636088</v>
      </c>
      <c r="AD41" s="78">
        <v>394241567</v>
      </c>
      <c r="AE41" s="79">
        <v>61480286</v>
      </c>
      <c r="AF41" s="79">
        <f t="shared" si="14"/>
        <v>455721853</v>
      </c>
      <c r="AG41" s="40">
        <f>IF(2134578984=0,0,1321912072/2134578984)</f>
        <v>0.6192846841970032</v>
      </c>
      <c r="AH41" s="40">
        <f t="shared" si="15"/>
        <v>0.15387701190620762</v>
      </c>
      <c r="AI41" s="12">
        <v>2302697959</v>
      </c>
      <c r="AJ41" s="12">
        <v>2134578984</v>
      </c>
      <c r="AK41" s="12">
        <v>1321912072</v>
      </c>
      <c r="AL41" s="12"/>
    </row>
    <row r="42" spans="1:38" s="13" customFormat="1" ht="12.75">
      <c r="A42" s="29" t="s">
        <v>95</v>
      </c>
      <c r="B42" s="61" t="s">
        <v>310</v>
      </c>
      <c r="C42" s="39" t="s">
        <v>311</v>
      </c>
      <c r="D42" s="78">
        <v>68666255</v>
      </c>
      <c r="E42" s="79">
        <v>24895760</v>
      </c>
      <c r="F42" s="80">
        <f aca="true" t="shared" si="16" ref="F42:F73">$D42+$E42</f>
        <v>93562015</v>
      </c>
      <c r="G42" s="78">
        <v>68666255</v>
      </c>
      <c r="H42" s="79">
        <v>24895760</v>
      </c>
      <c r="I42" s="81">
        <f aca="true" t="shared" si="17" ref="I42:I73">$G42+$H42</f>
        <v>93562015</v>
      </c>
      <c r="J42" s="78">
        <v>14357052</v>
      </c>
      <c r="K42" s="79">
        <v>2974722</v>
      </c>
      <c r="L42" s="79">
        <f aca="true" t="shared" si="18" ref="L42:L73">$J42+$K42</f>
        <v>17331774</v>
      </c>
      <c r="M42" s="40">
        <f aca="true" t="shared" si="19" ref="M42:M73">IF($F42=0,0,$L42/$F42)</f>
        <v>0.1852437017308787</v>
      </c>
      <c r="N42" s="106">
        <v>20920330</v>
      </c>
      <c r="O42" s="107">
        <v>3024873</v>
      </c>
      <c r="P42" s="108">
        <f aca="true" t="shared" si="20" ref="P42:P73">$N42+$O42</f>
        <v>23945203</v>
      </c>
      <c r="Q42" s="40">
        <f aca="true" t="shared" si="21" ref="Q42:Q73">IF($F42=0,0,$P42/$F42)</f>
        <v>0.25592868003110025</v>
      </c>
      <c r="R42" s="106">
        <v>14100497</v>
      </c>
      <c r="S42" s="108">
        <v>480952</v>
      </c>
      <c r="T42" s="108">
        <f aca="true" t="shared" si="22" ref="T42:T73">$R42+$S42</f>
        <v>14581449</v>
      </c>
      <c r="U42" s="40">
        <f aca="true" t="shared" si="23" ref="U42:U73">IF($I42=0,0,$T42/$I42)</f>
        <v>0.15584795816977648</v>
      </c>
      <c r="V42" s="106">
        <v>0</v>
      </c>
      <c r="W42" s="108">
        <v>0</v>
      </c>
      <c r="X42" s="108">
        <f aca="true" t="shared" si="24" ref="X42:X73">$V42+$W42</f>
        <v>0</v>
      </c>
      <c r="Y42" s="40">
        <f aca="true" t="shared" si="25" ref="Y42:Y73">IF($I42=0,0,$X42/$I42)</f>
        <v>0</v>
      </c>
      <c r="Z42" s="78">
        <f aca="true" t="shared" si="26" ref="Z42:Z73">$J42+$N42+$R42</f>
        <v>49377879</v>
      </c>
      <c r="AA42" s="79">
        <f aca="true" t="shared" si="27" ref="AA42:AA73">$K42+$O42+$S42</f>
        <v>6480547</v>
      </c>
      <c r="AB42" s="79">
        <f aca="true" t="shared" si="28" ref="AB42:AB73">$Z42+$AA42</f>
        <v>55858426</v>
      </c>
      <c r="AC42" s="40">
        <f aca="true" t="shared" si="29" ref="AC42:AC73">IF($I42=0,0,$AB42/$I42)</f>
        <v>0.5970203399317554</v>
      </c>
      <c r="AD42" s="78">
        <v>10118361</v>
      </c>
      <c r="AE42" s="79">
        <v>3447609</v>
      </c>
      <c r="AF42" s="79">
        <f aca="true" t="shared" si="30" ref="AF42:AF73">$AD42+$AE42</f>
        <v>13565970</v>
      </c>
      <c r="AG42" s="40">
        <f>IF(80712873=0,0,40273638/80712873)</f>
        <v>0.4989741599211813</v>
      </c>
      <c r="AH42" s="40">
        <f aca="true" t="shared" si="31" ref="AH42:AH73">IF($AF42=0,0,(($T42/$AF42)-1))</f>
        <v>0.07485487584006156</v>
      </c>
      <c r="AI42" s="12">
        <v>84277726</v>
      </c>
      <c r="AJ42" s="12">
        <v>80712873</v>
      </c>
      <c r="AK42" s="12">
        <v>40273638</v>
      </c>
      <c r="AL42" s="12"/>
    </row>
    <row r="43" spans="1:38" s="13" customFormat="1" ht="12.75">
      <c r="A43" s="29" t="s">
        <v>95</v>
      </c>
      <c r="B43" s="61" t="s">
        <v>312</v>
      </c>
      <c r="C43" s="39" t="s">
        <v>313</v>
      </c>
      <c r="D43" s="78">
        <v>85953947</v>
      </c>
      <c r="E43" s="79">
        <v>42536906</v>
      </c>
      <c r="F43" s="80">
        <f t="shared" si="16"/>
        <v>128490853</v>
      </c>
      <c r="G43" s="78">
        <v>86514000</v>
      </c>
      <c r="H43" s="79">
        <v>49089000</v>
      </c>
      <c r="I43" s="81">
        <f t="shared" si="17"/>
        <v>135603000</v>
      </c>
      <c r="J43" s="78">
        <v>15034390</v>
      </c>
      <c r="K43" s="79">
        <v>13876793</v>
      </c>
      <c r="L43" s="79">
        <f t="shared" si="18"/>
        <v>28911183</v>
      </c>
      <c r="M43" s="40">
        <f t="shared" si="19"/>
        <v>0.22500576753117205</v>
      </c>
      <c r="N43" s="106">
        <v>21430704</v>
      </c>
      <c r="O43" s="107">
        <v>12575354</v>
      </c>
      <c r="P43" s="108">
        <f t="shared" si="20"/>
        <v>34006058</v>
      </c>
      <c r="Q43" s="40">
        <f t="shared" si="21"/>
        <v>0.26465742273498644</v>
      </c>
      <c r="R43" s="106">
        <v>15193987</v>
      </c>
      <c r="S43" s="108">
        <v>3011070</v>
      </c>
      <c r="T43" s="108">
        <f t="shared" si="22"/>
        <v>18205057</v>
      </c>
      <c r="U43" s="40">
        <f t="shared" si="23"/>
        <v>0.13425261240533026</v>
      </c>
      <c r="V43" s="106">
        <v>0</v>
      </c>
      <c r="W43" s="108">
        <v>0</v>
      </c>
      <c r="X43" s="108">
        <f t="shared" si="24"/>
        <v>0</v>
      </c>
      <c r="Y43" s="40">
        <f t="shared" si="25"/>
        <v>0</v>
      </c>
      <c r="Z43" s="78">
        <f t="shared" si="26"/>
        <v>51659081</v>
      </c>
      <c r="AA43" s="79">
        <f t="shared" si="27"/>
        <v>29463217</v>
      </c>
      <c r="AB43" s="79">
        <f t="shared" si="28"/>
        <v>81122298</v>
      </c>
      <c r="AC43" s="40">
        <f t="shared" si="29"/>
        <v>0.5982338001371651</v>
      </c>
      <c r="AD43" s="78">
        <v>14142429</v>
      </c>
      <c r="AE43" s="79">
        <v>4431617</v>
      </c>
      <c r="AF43" s="79">
        <f t="shared" si="30"/>
        <v>18574046</v>
      </c>
      <c r="AG43" s="40">
        <f>IF(90415155=0,0,60073703/90415155)</f>
        <v>0.6644207268128889</v>
      </c>
      <c r="AH43" s="40">
        <f t="shared" si="31"/>
        <v>-0.019865838600808927</v>
      </c>
      <c r="AI43" s="12">
        <v>116812974</v>
      </c>
      <c r="AJ43" s="12">
        <v>90415155</v>
      </c>
      <c r="AK43" s="12">
        <v>60073703</v>
      </c>
      <c r="AL43" s="12"/>
    </row>
    <row r="44" spans="1:38" s="13" customFormat="1" ht="12.75">
      <c r="A44" s="29" t="s">
        <v>114</v>
      </c>
      <c r="B44" s="61" t="s">
        <v>314</v>
      </c>
      <c r="C44" s="39" t="s">
        <v>315</v>
      </c>
      <c r="D44" s="78">
        <v>161651754</v>
      </c>
      <c r="E44" s="79">
        <v>70515211</v>
      </c>
      <c r="F44" s="80">
        <f t="shared" si="16"/>
        <v>232166965</v>
      </c>
      <c r="G44" s="78">
        <v>180985251</v>
      </c>
      <c r="H44" s="79">
        <v>69324000</v>
      </c>
      <c r="I44" s="81">
        <f t="shared" si="17"/>
        <v>250309251</v>
      </c>
      <c r="J44" s="78">
        <v>36560170</v>
      </c>
      <c r="K44" s="79">
        <v>5740386</v>
      </c>
      <c r="L44" s="79">
        <f t="shared" si="18"/>
        <v>42300556</v>
      </c>
      <c r="M44" s="40">
        <f t="shared" si="19"/>
        <v>0.18219885848100742</v>
      </c>
      <c r="N44" s="106">
        <v>50367333</v>
      </c>
      <c r="O44" s="107">
        <v>20680934</v>
      </c>
      <c r="P44" s="108">
        <f t="shared" si="20"/>
        <v>71048267</v>
      </c>
      <c r="Q44" s="40">
        <f t="shared" si="21"/>
        <v>0.3060222930510376</v>
      </c>
      <c r="R44" s="106">
        <v>52418022</v>
      </c>
      <c r="S44" s="108">
        <v>8869309</v>
      </c>
      <c r="T44" s="108">
        <f t="shared" si="22"/>
        <v>61287331</v>
      </c>
      <c r="U44" s="40">
        <f t="shared" si="23"/>
        <v>0.24484644796448216</v>
      </c>
      <c r="V44" s="106">
        <v>0</v>
      </c>
      <c r="W44" s="108">
        <v>0</v>
      </c>
      <c r="X44" s="108">
        <f t="shared" si="24"/>
        <v>0</v>
      </c>
      <c r="Y44" s="40">
        <f t="shared" si="25"/>
        <v>0</v>
      </c>
      <c r="Z44" s="78">
        <f t="shared" si="26"/>
        <v>139345525</v>
      </c>
      <c r="AA44" s="79">
        <f t="shared" si="27"/>
        <v>35290629</v>
      </c>
      <c r="AB44" s="79">
        <f t="shared" si="28"/>
        <v>174636154</v>
      </c>
      <c r="AC44" s="40">
        <f t="shared" si="29"/>
        <v>0.697681581093461</v>
      </c>
      <c r="AD44" s="78">
        <v>36602818</v>
      </c>
      <c r="AE44" s="79">
        <v>16181822</v>
      </c>
      <c r="AF44" s="79">
        <f t="shared" si="30"/>
        <v>52784640</v>
      </c>
      <c r="AG44" s="40">
        <f>IF(217789609=0,0,140481080/217789609)</f>
        <v>0.6450311410403423</v>
      </c>
      <c r="AH44" s="40">
        <f t="shared" si="31"/>
        <v>0.16108267480842908</v>
      </c>
      <c r="AI44" s="12">
        <v>197588063</v>
      </c>
      <c r="AJ44" s="12">
        <v>217789609</v>
      </c>
      <c r="AK44" s="12">
        <v>140481080</v>
      </c>
      <c r="AL44" s="12"/>
    </row>
    <row r="45" spans="1:38" s="57" customFormat="1" ht="12.75">
      <c r="A45" s="62"/>
      <c r="B45" s="63" t="s">
        <v>316</v>
      </c>
      <c r="C45" s="32"/>
      <c r="D45" s="82">
        <f>SUM(D41:D44)</f>
        <v>2150959706</v>
      </c>
      <c r="E45" s="83">
        <f>SUM(E41:E44)</f>
        <v>538457367</v>
      </c>
      <c r="F45" s="91">
        <f t="shared" si="16"/>
        <v>2689417073</v>
      </c>
      <c r="G45" s="82">
        <f>SUM(G41:G44)</f>
        <v>2230690506</v>
      </c>
      <c r="H45" s="83">
        <f>SUM(H41:H44)</f>
        <v>532868718</v>
      </c>
      <c r="I45" s="84">
        <f t="shared" si="17"/>
        <v>2763559224</v>
      </c>
      <c r="J45" s="82">
        <f>SUM(J41:J44)</f>
        <v>535174627</v>
      </c>
      <c r="K45" s="83">
        <f>SUM(K41:K44)</f>
        <v>65000473</v>
      </c>
      <c r="L45" s="83">
        <f t="shared" si="18"/>
        <v>600175100</v>
      </c>
      <c r="M45" s="44">
        <f t="shared" si="19"/>
        <v>0.22316177956382</v>
      </c>
      <c r="N45" s="112">
        <f>SUM(N41:N44)</f>
        <v>541139079</v>
      </c>
      <c r="O45" s="113">
        <f>SUM(O41:O44)</f>
        <v>129460719</v>
      </c>
      <c r="P45" s="114">
        <f t="shared" si="20"/>
        <v>670599798</v>
      </c>
      <c r="Q45" s="44">
        <f t="shared" si="21"/>
        <v>0.24934763920865463</v>
      </c>
      <c r="R45" s="112">
        <f>SUM(R41:R44)</f>
        <v>521840691</v>
      </c>
      <c r="S45" s="114">
        <f>SUM(S41:S44)</f>
        <v>98080116</v>
      </c>
      <c r="T45" s="114">
        <f t="shared" si="22"/>
        <v>619920807</v>
      </c>
      <c r="U45" s="44">
        <f t="shared" si="23"/>
        <v>0.2243197111957388</v>
      </c>
      <c r="V45" s="112">
        <f>SUM(V41:V44)</f>
        <v>0</v>
      </c>
      <c r="W45" s="114">
        <f>SUM(W41:W44)</f>
        <v>0</v>
      </c>
      <c r="X45" s="114">
        <f t="shared" si="24"/>
        <v>0</v>
      </c>
      <c r="Y45" s="44">
        <f t="shared" si="25"/>
        <v>0</v>
      </c>
      <c r="Z45" s="82">
        <f t="shared" si="26"/>
        <v>1598154397</v>
      </c>
      <c r="AA45" s="83">
        <f t="shared" si="27"/>
        <v>292541308</v>
      </c>
      <c r="AB45" s="83">
        <f t="shared" si="28"/>
        <v>1890695705</v>
      </c>
      <c r="AC45" s="44">
        <f t="shared" si="29"/>
        <v>0.684152410623352</v>
      </c>
      <c r="AD45" s="82">
        <f>SUM(AD41:AD44)</f>
        <v>455105175</v>
      </c>
      <c r="AE45" s="83">
        <f>SUM(AE41:AE44)</f>
        <v>85541334</v>
      </c>
      <c r="AF45" s="83">
        <f t="shared" si="30"/>
        <v>540646509</v>
      </c>
      <c r="AG45" s="44">
        <f>IF(217789609=0,0,140481080/217789609)</f>
        <v>0.6450311410403423</v>
      </c>
      <c r="AH45" s="44">
        <f t="shared" si="31"/>
        <v>0.14662870596654498</v>
      </c>
      <c r="AI45" s="64">
        <f>SUM(AI41:AI44)</f>
        <v>2701376722</v>
      </c>
      <c r="AJ45" s="64">
        <f>SUM(AJ41:AJ44)</f>
        <v>2523496621</v>
      </c>
      <c r="AK45" s="64">
        <f>SUM(AK41:AK44)</f>
        <v>1562740493</v>
      </c>
      <c r="AL45" s="64"/>
    </row>
    <row r="46" spans="1:38" s="13" customFormat="1" ht="12.75">
      <c r="A46" s="29" t="s">
        <v>95</v>
      </c>
      <c r="B46" s="61" t="s">
        <v>317</v>
      </c>
      <c r="C46" s="39" t="s">
        <v>318</v>
      </c>
      <c r="D46" s="78">
        <v>107576658</v>
      </c>
      <c r="E46" s="79">
        <v>39321500</v>
      </c>
      <c r="F46" s="81">
        <f t="shared" si="16"/>
        <v>146898158</v>
      </c>
      <c r="G46" s="78">
        <v>107576658</v>
      </c>
      <c r="H46" s="79">
        <v>39321500</v>
      </c>
      <c r="I46" s="81">
        <f t="shared" si="17"/>
        <v>146898158</v>
      </c>
      <c r="J46" s="78">
        <v>23524072</v>
      </c>
      <c r="K46" s="79">
        <v>8723117</v>
      </c>
      <c r="L46" s="79">
        <f t="shared" si="18"/>
        <v>32247189</v>
      </c>
      <c r="M46" s="40">
        <f t="shared" si="19"/>
        <v>0.21952071720327493</v>
      </c>
      <c r="N46" s="106">
        <v>27513914</v>
      </c>
      <c r="O46" s="107">
        <v>4453592</v>
      </c>
      <c r="P46" s="108">
        <f t="shared" si="20"/>
        <v>31967506</v>
      </c>
      <c r="Q46" s="40">
        <f t="shared" si="21"/>
        <v>0.21761679271703324</v>
      </c>
      <c r="R46" s="106">
        <v>22638597</v>
      </c>
      <c r="S46" s="108">
        <v>7835739</v>
      </c>
      <c r="T46" s="108">
        <f t="shared" si="22"/>
        <v>30474336</v>
      </c>
      <c r="U46" s="40">
        <f t="shared" si="23"/>
        <v>0.20745213156450878</v>
      </c>
      <c r="V46" s="106">
        <v>0</v>
      </c>
      <c r="W46" s="108">
        <v>0</v>
      </c>
      <c r="X46" s="108">
        <f t="shared" si="24"/>
        <v>0</v>
      </c>
      <c r="Y46" s="40">
        <f t="shared" si="25"/>
        <v>0</v>
      </c>
      <c r="Z46" s="78">
        <f t="shared" si="26"/>
        <v>73676583</v>
      </c>
      <c r="AA46" s="79">
        <f t="shared" si="27"/>
        <v>21012448</v>
      </c>
      <c r="AB46" s="79">
        <f t="shared" si="28"/>
        <v>94689031</v>
      </c>
      <c r="AC46" s="40">
        <f t="shared" si="29"/>
        <v>0.644589641484817</v>
      </c>
      <c r="AD46" s="78">
        <v>17202652</v>
      </c>
      <c r="AE46" s="79">
        <v>7488216</v>
      </c>
      <c r="AF46" s="79">
        <f t="shared" si="30"/>
        <v>24690868</v>
      </c>
      <c r="AG46" s="40">
        <f>IF(129017367=0,0,81092308/129017367)</f>
        <v>0.62853792389051</v>
      </c>
      <c r="AH46" s="40">
        <f t="shared" si="31"/>
        <v>0.23423510262984681</v>
      </c>
      <c r="AI46" s="12">
        <v>116639284</v>
      </c>
      <c r="AJ46" s="12">
        <v>129017367</v>
      </c>
      <c r="AK46" s="12">
        <v>81092308</v>
      </c>
      <c r="AL46" s="12"/>
    </row>
    <row r="47" spans="1:38" s="13" customFormat="1" ht="12.75">
      <c r="A47" s="29" t="s">
        <v>95</v>
      </c>
      <c r="B47" s="61" t="s">
        <v>319</v>
      </c>
      <c r="C47" s="39" t="s">
        <v>320</v>
      </c>
      <c r="D47" s="78">
        <v>185931379</v>
      </c>
      <c r="E47" s="79">
        <v>56332000</v>
      </c>
      <c r="F47" s="80">
        <f t="shared" si="16"/>
        <v>242263379</v>
      </c>
      <c r="G47" s="78">
        <v>185931379</v>
      </c>
      <c r="H47" s="79">
        <v>56332000</v>
      </c>
      <c r="I47" s="81">
        <f t="shared" si="17"/>
        <v>242263379</v>
      </c>
      <c r="J47" s="78">
        <v>32706298</v>
      </c>
      <c r="K47" s="79">
        <v>10446387</v>
      </c>
      <c r="L47" s="79">
        <f t="shared" si="18"/>
        <v>43152685</v>
      </c>
      <c r="M47" s="40">
        <f t="shared" si="19"/>
        <v>0.1781230212264149</v>
      </c>
      <c r="N47" s="106">
        <v>36743455</v>
      </c>
      <c r="O47" s="107">
        <v>23753137</v>
      </c>
      <c r="P47" s="108">
        <f t="shared" si="20"/>
        <v>60496592</v>
      </c>
      <c r="Q47" s="40">
        <f t="shared" si="21"/>
        <v>0.2497141427223303</v>
      </c>
      <c r="R47" s="106">
        <v>46907958</v>
      </c>
      <c r="S47" s="108">
        <v>4868682</v>
      </c>
      <c r="T47" s="108">
        <f t="shared" si="22"/>
        <v>51776640</v>
      </c>
      <c r="U47" s="40">
        <f t="shared" si="23"/>
        <v>0.2137204566935393</v>
      </c>
      <c r="V47" s="106">
        <v>0</v>
      </c>
      <c r="W47" s="108">
        <v>0</v>
      </c>
      <c r="X47" s="108">
        <f t="shared" si="24"/>
        <v>0</v>
      </c>
      <c r="Y47" s="40">
        <f t="shared" si="25"/>
        <v>0</v>
      </c>
      <c r="Z47" s="78">
        <f t="shared" si="26"/>
        <v>116357711</v>
      </c>
      <c r="AA47" s="79">
        <f t="shared" si="27"/>
        <v>39068206</v>
      </c>
      <c r="AB47" s="79">
        <f t="shared" si="28"/>
        <v>155425917</v>
      </c>
      <c r="AC47" s="40">
        <f t="shared" si="29"/>
        <v>0.6415576206422845</v>
      </c>
      <c r="AD47" s="78">
        <v>34916623</v>
      </c>
      <c r="AE47" s="79">
        <v>9624661</v>
      </c>
      <c r="AF47" s="79">
        <f t="shared" si="30"/>
        <v>44541284</v>
      </c>
      <c r="AG47" s="40">
        <f>IF(204354045=0,0,141576937/204354045)</f>
        <v>0.6928022246880408</v>
      </c>
      <c r="AH47" s="40">
        <f t="shared" si="31"/>
        <v>0.16244156769257034</v>
      </c>
      <c r="AI47" s="12">
        <v>199587861</v>
      </c>
      <c r="AJ47" s="12">
        <v>204354045</v>
      </c>
      <c r="AK47" s="12">
        <v>141576937</v>
      </c>
      <c r="AL47" s="12"/>
    </row>
    <row r="48" spans="1:38" s="13" customFormat="1" ht="12.75">
      <c r="A48" s="29" t="s">
        <v>95</v>
      </c>
      <c r="B48" s="61" t="s">
        <v>321</v>
      </c>
      <c r="C48" s="39" t="s">
        <v>322</v>
      </c>
      <c r="D48" s="78">
        <v>489545095</v>
      </c>
      <c r="E48" s="79">
        <v>65061000</v>
      </c>
      <c r="F48" s="80">
        <f t="shared" si="16"/>
        <v>554606095</v>
      </c>
      <c r="G48" s="78">
        <v>489545095</v>
      </c>
      <c r="H48" s="79">
        <v>65061000</v>
      </c>
      <c r="I48" s="81">
        <f t="shared" si="17"/>
        <v>554606095</v>
      </c>
      <c r="J48" s="78">
        <v>113271172</v>
      </c>
      <c r="K48" s="79">
        <v>34038376</v>
      </c>
      <c r="L48" s="79">
        <f t="shared" si="18"/>
        <v>147309548</v>
      </c>
      <c r="M48" s="40">
        <f t="shared" si="19"/>
        <v>0.26561112351280597</v>
      </c>
      <c r="N48" s="106">
        <v>113976636</v>
      </c>
      <c r="O48" s="107">
        <v>52840999</v>
      </c>
      <c r="P48" s="108">
        <f t="shared" si="20"/>
        <v>166817635</v>
      </c>
      <c r="Q48" s="40">
        <f t="shared" si="21"/>
        <v>0.30078579464583777</v>
      </c>
      <c r="R48" s="106">
        <v>165606775</v>
      </c>
      <c r="S48" s="108">
        <v>172321</v>
      </c>
      <c r="T48" s="108">
        <f t="shared" si="22"/>
        <v>165779096</v>
      </c>
      <c r="U48" s="40">
        <f t="shared" si="23"/>
        <v>0.2989132241685876</v>
      </c>
      <c r="V48" s="106">
        <v>0</v>
      </c>
      <c r="W48" s="108">
        <v>0</v>
      </c>
      <c r="X48" s="108">
        <f t="shared" si="24"/>
        <v>0</v>
      </c>
      <c r="Y48" s="40">
        <f t="shared" si="25"/>
        <v>0</v>
      </c>
      <c r="Z48" s="78">
        <f t="shared" si="26"/>
        <v>392854583</v>
      </c>
      <c r="AA48" s="79">
        <f t="shared" si="27"/>
        <v>87051696</v>
      </c>
      <c r="AB48" s="79">
        <f t="shared" si="28"/>
        <v>479906279</v>
      </c>
      <c r="AC48" s="40">
        <f t="shared" si="29"/>
        <v>0.8653101423272314</v>
      </c>
      <c r="AD48" s="78">
        <v>109841923</v>
      </c>
      <c r="AE48" s="79">
        <v>6766946</v>
      </c>
      <c r="AF48" s="79">
        <f t="shared" si="30"/>
        <v>116608869</v>
      </c>
      <c r="AG48" s="40">
        <f>IF(519299580=0,0,336004247/519299580)</f>
        <v>0.6470335427577276</v>
      </c>
      <c r="AH48" s="40">
        <f t="shared" si="31"/>
        <v>0.4216679865062407</v>
      </c>
      <c r="AI48" s="12">
        <v>504748290</v>
      </c>
      <c r="AJ48" s="12">
        <v>519299580</v>
      </c>
      <c r="AK48" s="12">
        <v>336004247</v>
      </c>
      <c r="AL48" s="12"/>
    </row>
    <row r="49" spans="1:38" s="13" customFormat="1" ht="12.75">
      <c r="A49" s="29" t="s">
        <v>95</v>
      </c>
      <c r="B49" s="61" t="s">
        <v>323</v>
      </c>
      <c r="C49" s="39" t="s">
        <v>324</v>
      </c>
      <c r="D49" s="78">
        <v>142766548</v>
      </c>
      <c r="E49" s="79">
        <v>47873000</v>
      </c>
      <c r="F49" s="80">
        <f t="shared" si="16"/>
        <v>190639548</v>
      </c>
      <c r="G49" s="78">
        <v>145578006</v>
      </c>
      <c r="H49" s="79">
        <v>47873000</v>
      </c>
      <c r="I49" s="81">
        <f t="shared" si="17"/>
        <v>193451006</v>
      </c>
      <c r="J49" s="78">
        <v>29375000</v>
      </c>
      <c r="K49" s="79">
        <v>12787908</v>
      </c>
      <c r="L49" s="79">
        <f t="shared" si="18"/>
        <v>42162908</v>
      </c>
      <c r="M49" s="40">
        <f t="shared" si="19"/>
        <v>0.22116558941904332</v>
      </c>
      <c r="N49" s="106">
        <v>33837760</v>
      </c>
      <c r="O49" s="107">
        <v>10263436</v>
      </c>
      <c r="P49" s="108">
        <f t="shared" si="20"/>
        <v>44101196</v>
      </c>
      <c r="Q49" s="40">
        <f t="shared" si="21"/>
        <v>0.231332881674688</v>
      </c>
      <c r="R49" s="106">
        <v>33118408</v>
      </c>
      <c r="S49" s="108">
        <v>9382043</v>
      </c>
      <c r="T49" s="108">
        <f t="shared" si="22"/>
        <v>42500451</v>
      </c>
      <c r="U49" s="40">
        <f t="shared" si="23"/>
        <v>0.21969620049429983</v>
      </c>
      <c r="V49" s="106">
        <v>0</v>
      </c>
      <c r="W49" s="108">
        <v>0</v>
      </c>
      <c r="X49" s="108">
        <f t="shared" si="24"/>
        <v>0</v>
      </c>
      <c r="Y49" s="40">
        <f t="shared" si="25"/>
        <v>0</v>
      </c>
      <c r="Z49" s="78">
        <f t="shared" si="26"/>
        <v>96331168</v>
      </c>
      <c r="AA49" s="79">
        <f t="shared" si="27"/>
        <v>32433387</v>
      </c>
      <c r="AB49" s="79">
        <f t="shared" si="28"/>
        <v>128764555</v>
      </c>
      <c r="AC49" s="40">
        <f t="shared" si="29"/>
        <v>0.6656184305394618</v>
      </c>
      <c r="AD49" s="78">
        <v>22402342</v>
      </c>
      <c r="AE49" s="79">
        <v>7023180</v>
      </c>
      <c r="AF49" s="79">
        <f t="shared" si="30"/>
        <v>29425522</v>
      </c>
      <c r="AG49" s="40">
        <f>IF(167452033=0,0,108708527/167452033)</f>
        <v>0.6491920405648345</v>
      </c>
      <c r="AH49" s="40">
        <f t="shared" si="31"/>
        <v>0.4443397469720334</v>
      </c>
      <c r="AI49" s="12">
        <v>182386669</v>
      </c>
      <c r="AJ49" s="12">
        <v>167452033</v>
      </c>
      <c r="AK49" s="12">
        <v>108708527</v>
      </c>
      <c r="AL49" s="12"/>
    </row>
    <row r="50" spans="1:38" s="13" customFormat="1" ht="12.75">
      <c r="A50" s="29" t="s">
        <v>95</v>
      </c>
      <c r="B50" s="61" t="s">
        <v>325</v>
      </c>
      <c r="C50" s="39" t="s">
        <v>326</v>
      </c>
      <c r="D50" s="78">
        <v>445463051</v>
      </c>
      <c r="E50" s="79">
        <v>53994000</v>
      </c>
      <c r="F50" s="80">
        <f t="shared" si="16"/>
        <v>499457051</v>
      </c>
      <c r="G50" s="78">
        <v>445463051</v>
      </c>
      <c r="H50" s="79">
        <v>53994000</v>
      </c>
      <c r="I50" s="81">
        <f t="shared" si="17"/>
        <v>499457051</v>
      </c>
      <c r="J50" s="78">
        <v>74250691</v>
      </c>
      <c r="K50" s="79">
        <v>13300800</v>
      </c>
      <c r="L50" s="79">
        <f t="shared" si="18"/>
        <v>87551491</v>
      </c>
      <c r="M50" s="40">
        <f t="shared" si="19"/>
        <v>0.17529333267936986</v>
      </c>
      <c r="N50" s="106">
        <v>68128482</v>
      </c>
      <c r="O50" s="107">
        <v>25572017</v>
      </c>
      <c r="P50" s="108">
        <f t="shared" si="20"/>
        <v>93700499</v>
      </c>
      <c r="Q50" s="40">
        <f t="shared" si="21"/>
        <v>0.18760471758761896</v>
      </c>
      <c r="R50" s="106">
        <v>78993112</v>
      </c>
      <c r="S50" s="108">
        <v>1789556</v>
      </c>
      <c r="T50" s="108">
        <f t="shared" si="22"/>
        <v>80782668</v>
      </c>
      <c r="U50" s="40">
        <f t="shared" si="23"/>
        <v>0.16174097019605396</v>
      </c>
      <c r="V50" s="106">
        <v>0</v>
      </c>
      <c r="W50" s="108">
        <v>0</v>
      </c>
      <c r="X50" s="108">
        <f t="shared" si="24"/>
        <v>0</v>
      </c>
      <c r="Y50" s="40">
        <f t="shared" si="25"/>
        <v>0</v>
      </c>
      <c r="Z50" s="78">
        <f t="shared" si="26"/>
        <v>221372285</v>
      </c>
      <c r="AA50" s="79">
        <f t="shared" si="27"/>
        <v>40662373</v>
      </c>
      <c r="AB50" s="79">
        <f t="shared" si="28"/>
        <v>262034658</v>
      </c>
      <c r="AC50" s="40">
        <f t="shared" si="29"/>
        <v>0.5246390204630428</v>
      </c>
      <c r="AD50" s="78">
        <v>46277635</v>
      </c>
      <c r="AE50" s="79">
        <v>4292822</v>
      </c>
      <c r="AF50" s="79">
        <f t="shared" si="30"/>
        <v>50570457</v>
      </c>
      <c r="AG50" s="40">
        <f>IF(364250161=0,0,199627404/364250161)</f>
        <v>0.5480502834973352</v>
      </c>
      <c r="AH50" s="40">
        <f t="shared" si="31"/>
        <v>0.5974280794021696</v>
      </c>
      <c r="AI50" s="12">
        <v>383791183</v>
      </c>
      <c r="AJ50" s="12">
        <v>364250161</v>
      </c>
      <c r="AK50" s="12">
        <v>199627404</v>
      </c>
      <c r="AL50" s="12"/>
    </row>
    <row r="51" spans="1:38" s="13" customFormat="1" ht="12.75">
      <c r="A51" s="29" t="s">
        <v>114</v>
      </c>
      <c r="B51" s="61" t="s">
        <v>327</v>
      </c>
      <c r="C51" s="39" t="s">
        <v>328</v>
      </c>
      <c r="D51" s="78">
        <v>458996190</v>
      </c>
      <c r="E51" s="79">
        <v>503386000</v>
      </c>
      <c r="F51" s="80">
        <f t="shared" si="16"/>
        <v>962382190</v>
      </c>
      <c r="G51" s="78">
        <v>457365594</v>
      </c>
      <c r="H51" s="79">
        <v>526995000</v>
      </c>
      <c r="I51" s="81">
        <f t="shared" si="17"/>
        <v>984360594</v>
      </c>
      <c r="J51" s="78">
        <v>105241792</v>
      </c>
      <c r="K51" s="79">
        <v>68526027</v>
      </c>
      <c r="L51" s="79">
        <f t="shared" si="18"/>
        <v>173767819</v>
      </c>
      <c r="M51" s="40">
        <f t="shared" si="19"/>
        <v>0.18056009432177875</v>
      </c>
      <c r="N51" s="106">
        <v>158307990</v>
      </c>
      <c r="O51" s="107">
        <v>161184950</v>
      </c>
      <c r="P51" s="108">
        <f t="shared" si="20"/>
        <v>319492940</v>
      </c>
      <c r="Q51" s="40">
        <f t="shared" si="21"/>
        <v>0.3319813514005283</v>
      </c>
      <c r="R51" s="106">
        <v>113844235</v>
      </c>
      <c r="S51" s="108">
        <v>122984247</v>
      </c>
      <c r="T51" s="108">
        <f t="shared" si="22"/>
        <v>236828482</v>
      </c>
      <c r="U51" s="40">
        <f t="shared" si="23"/>
        <v>0.24059118522576697</v>
      </c>
      <c r="V51" s="106">
        <v>0</v>
      </c>
      <c r="W51" s="108">
        <v>0</v>
      </c>
      <c r="X51" s="108">
        <f t="shared" si="24"/>
        <v>0</v>
      </c>
      <c r="Y51" s="40">
        <f t="shared" si="25"/>
        <v>0</v>
      </c>
      <c r="Z51" s="78">
        <f t="shared" si="26"/>
        <v>377394017</v>
      </c>
      <c r="AA51" s="79">
        <f t="shared" si="27"/>
        <v>352695224</v>
      </c>
      <c r="AB51" s="79">
        <f t="shared" si="28"/>
        <v>730089241</v>
      </c>
      <c r="AC51" s="40">
        <f t="shared" si="29"/>
        <v>0.7416888134796668</v>
      </c>
      <c r="AD51" s="78">
        <v>122312626</v>
      </c>
      <c r="AE51" s="79">
        <v>55492189</v>
      </c>
      <c r="AF51" s="79">
        <f t="shared" si="30"/>
        <v>177804815</v>
      </c>
      <c r="AG51" s="40">
        <f>IF(854978000=0,0,567027946/854978000)</f>
        <v>0.663207645108997</v>
      </c>
      <c r="AH51" s="40">
        <f t="shared" si="31"/>
        <v>0.3319576413045957</v>
      </c>
      <c r="AI51" s="12">
        <v>869178000</v>
      </c>
      <c r="AJ51" s="12">
        <v>854978000</v>
      </c>
      <c r="AK51" s="12">
        <v>567027946</v>
      </c>
      <c r="AL51" s="12"/>
    </row>
    <row r="52" spans="1:38" s="57" customFormat="1" ht="12.75">
      <c r="A52" s="62"/>
      <c r="B52" s="63" t="s">
        <v>329</v>
      </c>
      <c r="C52" s="32"/>
      <c r="D52" s="82">
        <f>SUM(D46:D51)</f>
        <v>1830278921</v>
      </c>
      <c r="E52" s="83">
        <f>SUM(E46:E51)</f>
        <v>765967500</v>
      </c>
      <c r="F52" s="91">
        <f t="shared" si="16"/>
        <v>2596246421</v>
      </c>
      <c r="G52" s="82">
        <f>SUM(G46:G51)</f>
        <v>1831459783</v>
      </c>
      <c r="H52" s="83">
        <f>SUM(H46:H51)</f>
        <v>789576500</v>
      </c>
      <c r="I52" s="84">
        <f t="shared" si="17"/>
        <v>2621036283</v>
      </c>
      <c r="J52" s="82">
        <f>SUM(J46:J51)</f>
        <v>378369025</v>
      </c>
      <c r="K52" s="83">
        <f>SUM(K46:K51)</f>
        <v>147822615</v>
      </c>
      <c r="L52" s="83">
        <f t="shared" si="18"/>
        <v>526191640</v>
      </c>
      <c r="M52" s="44">
        <f t="shared" si="19"/>
        <v>0.20267399725382232</v>
      </c>
      <c r="N52" s="112">
        <f>SUM(N46:N51)</f>
        <v>438508237</v>
      </c>
      <c r="O52" s="113">
        <f>SUM(O46:O51)</f>
        <v>278068131</v>
      </c>
      <c r="P52" s="114">
        <f t="shared" si="20"/>
        <v>716576368</v>
      </c>
      <c r="Q52" s="44">
        <f t="shared" si="21"/>
        <v>0.2760047591029496</v>
      </c>
      <c r="R52" s="112">
        <f>SUM(R46:R51)</f>
        <v>461109085</v>
      </c>
      <c r="S52" s="114">
        <f>SUM(S46:S51)</f>
        <v>147032588</v>
      </c>
      <c r="T52" s="114">
        <f t="shared" si="22"/>
        <v>608141673</v>
      </c>
      <c r="U52" s="44">
        <f t="shared" si="23"/>
        <v>0.23202337065854345</v>
      </c>
      <c r="V52" s="112">
        <f>SUM(V46:V51)</f>
        <v>0</v>
      </c>
      <c r="W52" s="114">
        <f>SUM(W46:W51)</f>
        <v>0</v>
      </c>
      <c r="X52" s="114">
        <f t="shared" si="24"/>
        <v>0</v>
      </c>
      <c r="Y52" s="44">
        <f t="shared" si="25"/>
        <v>0</v>
      </c>
      <c r="Z52" s="82">
        <f t="shared" si="26"/>
        <v>1277986347</v>
      </c>
      <c r="AA52" s="83">
        <f t="shared" si="27"/>
        <v>572923334</v>
      </c>
      <c r="AB52" s="83">
        <f t="shared" si="28"/>
        <v>1850909681</v>
      </c>
      <c r="AC52" s="44">
        <f t="shared" si="29"/>
        <v>0.7061747649221688</v>
      </c>
      <c r="AD52" s="82">
        <f>SUM(AD46:AD51)</f>
        <v>352953801</v>
      </c>
      <c r="AE52" s="83">
        <f>SUM(AE46:AE51)</f>
        <v>90688014</v>
      </c>
      <c r="AF52" s="83">
        <f t="shared" si="30"/>
        <v>443641815</v>
      </c>
      <c r="AG52" s="44">
        <f>IF(854978000=0,0,567027946/854978000)</f>
        <v>0.663207645108997</v>
      </c>
      <c r="AH52" s="44">
        <f t="shared" si="31"/>
        <v>0.37079430395892676</v>
      </c>
      <c r="AI52" s="64">
        <f>SUM(AI46:AI51)</f>
        <v>2256331287</v>
      </c>
      <c r="AJ52" s="64">
        <f>SUM(AJ46:AJ51)</f>
        <v>2239351186</v>
      </c>
      <c r="AK52" s="64">
        <f>SUM(AK46:AK51)</f>
        <v>1434037369</v>
      </c>
      <c r="AL52" s="64"/>
    </row>
    <row r="53" spans="1:38" s="13" customFormat="1" ht="12.75">
      <c r="A53" s="29" t="s">
        <v>95</v>
      </c>
      <c r="B53" s="61" t="s">
        <v>330</v>
      </c>
      <c r="C53" s="39" t="s">
        <v>331</v>
      </c>
      <c r="D53" s="78">
        <v>150124369</v>
      </c>
      <c r="E53" s="79">
        <v>84954364</v>
      </c>
      <c r="F53" s="80">
        <f t="shared" si="16"/>
        <v>235078733</v>
      </c>
      <c r="G53" s="78">
        <v>186549904</v>
      </c>
      <c r="H53" s="79">
        <v>94954000</v>
      </c>
      <c r="I53" s="81">
        <f t="shared" si="17"/>
        <v>281503904</v>
      </c>
      <c r="J53" s="78">
        <v>27952781</v>
      </c>
      <c r="K53" s="79">
        <v>9868550</v>
      </c>
      <c r="L53" s="79">
        <f t="shared" si="18"/>
        <v>37821331</v>
      </c>
      <c r="M53" s="40">
        <f t="shared" si="19"/>
        <v>0.16088793110859587</v>
      </c>
      <c r="N53" s="106">
        <v>42226687</v>
      </c>
      <c r="O53" s="107">
        <v>17539985</v>
      </c>
      <c r="P53" s="108">
        <f t="shared" si="20"/>
        <v>59766672</v>
      </c>
      <c r="Q53" s="40">
        <f t="shared" si="21"/>
        <v>0.25424108441149373</v>
      </c>
      <c r="R53" s="106">
        <v>30142878</v>
      </c>
      <c r="S53" s="108">
        <v>8308160</v>
      </c>
      <c r="T53" s="108">
        <f t="shared" si="22"/>
        <v>38451038</v>
      </c>
      <c r="U53" s="40">
        <f t="shared" si="23"/>
        <v>0.13659149110770413</v>
      </c>
      <c r="V53" s="106">
        <v>0</v>
      </c>
      <c r="W53" s="108">
        <v>0</v>
      </c>
      <c r="X53" s="108">
        <f t="shared" si="24"/>
        <v>0</v>
      </c>
      <c r="Y53" s="40">
        <f t="shared" si="25"/>
        <v>0</v>
      </c>
      <c r="Z53" s="78">
        <f t="shared" si="26"/>
        <v>100322346</v>
      </c>
      <c r="AA53" s="79">
        <f t="shared" si="27"/>
        <v>35716695</v>
      </c>
      <c r="AB53" s="79">
        <f t="shared" si="28"/>
        <v>136039041</v>
      </c>
      <c r="AC53" s="40">
        <f t="shared" si="29"/>
        <v>0.48325809719498597</v>
      </c>
      <c r="AD53" s="78">
        <v>32604887</v>
      </c>
      <c r="AE53" s="79">
        <v>16143116</v>
      </c>
      <c r="AF53" s="79">
        <f t="shared" si="30"/>
        <v>48748003</v>
      </c>
      <c r="AG53" s="40">
        <f>IF(177482178=0,0,117629321/177482178)</f>
        <v>0.66276694553523</v>
      </c>
      <c r="AH53" s="40">
        <f t="shared" si="31"/>
        <v>-0.21122844765558912</v>
      </c>
      <c r="AI53" s="12">
        <v>158436434</v>
      </c>
      <c r="AJ53" s="12">
        <v>177482178</v>
      </c>
      <c r="AK53" s="12">
        <v>117629321</v>
      </c>
      <c r="AL53" s="12"/>
    </row>
    <row r="54" spans="1:38" s="13" customFormat="1" ht="12.75">
      <c r="A54" s="29" t="s">
        <v>95</v>
      </c>
      <c r="B54" s="61" t="s">
        <v>332</v>
      </c>
      <c r="C54" s="39" t="s">
        <v>333</v>
      </c>
      <c r="D54" s="78">
        <v>167108001</v>
      </c>
      <c r="E54" s="79">
        <v>66228700</v>
      </c>
      <c r="F54" s="80">
        <f t="shared" si="16"/>
        <v>233336701</v>
      </c>
      <c r="G54" s="78">
        <v>167108001</v>
      </c>
      <c r="H54" s="79">
        <v>66228700</v>
      </c>
      <c r="I54" s="81">
        <f t="shared" si="17"/>
        <v>233336701</v>
      </c>
      <c r="J54" s="78">
        <v>24467404</v>
      </c>
      <c r="K54" s="79">
        <v>5916539</v>
      </c>
      <c r="L54" s="79">
        <f t="shared" si="18"/>
        <v>30383943</v>
      </c>
      <c r="M54" s="40">
        <f t="shared" si="19"/>
        <v>0.13021501919665865</v>
      </c>
      <c r="N54" s="106">
        <v>25146660</v>
      </c>
      <c r="O54" s="107">
        <v>12636487</v>
      </c>
      <c r="P54" s="108">
        <f t="shared" si="20"/>
        <v>37783147</v>
      </c>
      <c r="Q54" s="40">
        <f t="shared" si="21"/>
        <v>0.16192543581046</v>
      </c>
      <c r="R54" s="106">
        <v>0</v>
      </c>
      <c r="S54" s="108">
        <v>8715300</v>
      </c>
      <c r="T54" s="108">
        <f t="shared" si="22"/>
        <v>8715300</v>
      </c>
      <c r="U54" s="40">
        <f t="shared" si="23"/>
        <v>0.03735074663629533</v>
      </c>
      <c r="V54" s="106">
        <v>0</v>
      </c>
      <c r="W54" s="108">
        <v>0</v>
      </c>
      <c r="X54" s="108">
        <f t="shared" si="24"/>
        <v>0</v>
      </c>
      <c r="Y54" s="40">
        <f t="shared" si="25"/>
        <v>0</v>
      </c>
      <c r="Z54" s="78">
        <f t="shared" si="26"/>
        <v>49614064</v>
      </c>
      <c r="AA54" s="79">
        <f t="shared" si="27"/>
        <v>27268326</v>
      </c>
      <c r="AB54" s="79">
        <f t="shared" si="28"/>
        <v>76882390</v>
      </c>
      <c r="AC54" s="40">
        <f t="shared" si="29"/>
        <v>0.329491201643414</v>
      </c>
      <c r="AD54" s="78">
        <v>27231000</v>
      </c>
      <c r="AE54" s="79">
        <v>6353394</v>
      </c>
      <c r="AF54" s="79">
        <f t="shared" si="30"/>
        <v>33584394</v>
      </c>
      <c r="AG54" s="40">
        <f>IF(197840175=0,0,106986131/197840175)</f>
        <v>0.5407705032610287</v>
      </c>
      <c r="AH54" s="40">
        <f t="shared" si="31"/>
        <v>-0.7404955408753244</v>
      </c>
      <c r="AI54" s="12">
        <v>206416341</v>
      </c>
      <c r="AJ54" s="12">
        <v>197840175</v>
      </c>
      <c r="AK54" s="12">
        <v>106986131</v>
      </c>
      <c r="AL54" s="12"/>
    </row>
    <row r="55" spans="1:38" s="13" customFormat="1" ht="12.75">
      <c r="A55" s="29" t="s">
        <v>95</v>
      </c>
      <c r="B55" s="61" t="s">
        <v>334</v>
      </c>
      <c r="C55" s="39" t="s">
        <v>335</v>
      </c>
      <c r="D55" s="78">
        <v>70030679</v>
      </c>
      <c r="E55" s="79">
        <v>11719000</v>
      </c>
      <c r="F55" s="81">
        <f t="shared" si="16"/>
        <v>81749679</v>
      </c>
      <c r="G55" s="78">
        <v>62374000</v>
      </c>
      <c r="H55" s="79">
        <v>11719000</v>
      </c>
      <c r="I55" s="81">
        <f t="shared" si="17"/>
        <v>74093000</v>
      </c>
      <c r="J55" s="78">
        <v>16642621</v>
      </c>
      <c r="K55" s="79">
        <v>7376170</v>
      </c>
      <c r="L55" s="79">
        <f t="shared" si="18"/>
        <v>24018791</v>
      </c>
      <c r="M55" s="40">
        <f t="shared" si="19"/>
        <v>0.29380899465060895</v>
      </c>
      <c r="N55" s="106">
        <v>14834070</v>
      </c>
      <c r="O55" s="107">
        <v>3216837</v>
      </c>
      <c r="P55" s="108">
        <f t="shared" si="20"/>
        <v>18050907</v>
      </c>
      <c r="Q55" s="40">
        <f t="shared" si="21"/>
        <v>0.2208070688571144</v>
      </c>
      <c r="R55" s="106">
        <v>14377519</v>
      </c>
      <c r="S55" s="108">
        <v>720139</v>
      </c>
      <c r="T55" s="108">
        <f t="shared" si="22"/>
        <v>15097658</v>
      </c>
      <c r="U55" s="40">
        <f t="shared" si="23"/>
        <v>0.20376632070505984</v>
      </c>
      <c r="V55" s="106">
        <v>0</v>
      </c>
      <c r="W55" s="108">
        <v>0</v>
      </c>
      <c r="X55" s="108">
        <f t="shared" si="24"/>
        <v>0</v>
      </c>
      <c r="Y55" s="40">
        <f t="shared" si="25"/>
        <v>0</v>
      </c>
      <c r="Z55" s="78">
        <f t="shared" si="26"/>
        <v>45854210</v>
      </c>
      <c r="AA55" s="79">
        <f t="shared" si="27"/>
        <v>11313146</v>
      </c>
      <c r="AB55" s="79">
        <f t="shared" si="28"/>
        <v>57167356</v>
      </c>
      <c r="AC55" s="40">
        <f t="shared" si="29"/>
        <v>0.7715621718650885</v>
      </c>
      <c r="AD55" s="78">
        <v>11217863</v>
      </c>
      <c r="AE55" s="79">
        <v>1447047</v>
      </c>
      <c r="AF55" s="79">
        <f t="shared" si="30"/>
        <v>12664910</v>
      </c>
      <c r="AG55" s="40">
        <f>IF(72225396=0,0,46251096/72225396)</f>
        <v>0.6403716498833735</v>
      </c>
      <c r="AH55" s="40">
        <f t="shared" si="31"/>
        <v>0.1920856918841114</v>
      </c>
      <c r="AI55" s="12">
        <v>63191000</v>
      </c>
      <c r="AJ55" s="12">
        <v>72225396</v>
      </c>
      <c r="AK55" s="12">
        <v>46251096</v>
      </c>
      <c r="AL55" s="12"/>
    </row>
    <row r="56" spans="1:38" s="13" customFormat="1" ht="12.75">
      <c r="A56" s="29" t="s">
        <v>95</v>
      </c>
      <c r="B56" s="61" t="s">
        <v>336</v>
      </c>
      <c r="C56" s="39" t="s">
        <v>337</v>
      </c>
      <c r="D56" s="78">
        <v>65555276</v>
      </c>
      <c r="E56" s="79">
        <v>16452000</v>
      </c>
      <c r="F56" s="80">
        <f t="shared" si="16"/>
        <v>82007276</v>
      </c>
      <c r="G56" s="78">
        <v>65555276</v>
      </c>
      <c r="H56" s="79">
        <v>16452000</v>
      </c>
      <c r="I56" s="80">
        <f t="shared" si="17"/>
        <v>82007276</v>
      </c>
      <c r="J56" s="78">
        <v>15103520</v>
      </c>
      <c r="K56" s="92">
        <v>3036927</v>
      </c>
      <c r="L56" s="79">
        <f t="shared" si="18"/>
        <v>18140447</v>
      </c>
      <c r="M56" s="40">
        <f t="shared" si="19"/>
        <v>0.2212053354875487</v>
      </c>
      <c r="N56" s="106">
        <v>16443676</v>
      </c>
      <c r="O56" s="107">
        <v>4170103</v>
      </c>
      <c r="P56" s="108">
        <f t="shared" si="20"/>
        <v>20613779</v>
      </c>
      <c r="Q56" s="40">
        <f t="shared" si="21"/>
        <v>0.25136524471316424</v>
      </c>
      <c r="R56" s="106">
        <v>8488290</v>
      </c>
      <c r="S56" s="108">
        <v>1449648</v>
      </c>
      <c r="T56" s="108">
        <f t="shared" si="22"/>
        <v>9937938</v>
      </c>
      <c r="U56" s="40">
        <f t="shared" si="23"/>
        <v>0.121183613024776</v>
      </c>
      <c r="V56" s="106">
        <v>0</v>
      </c>
      <c r="W56" s="108">
        <v>0</v>
      </c>
      <c r="X56" s="108">
        <f t="shared" si="24"/>
        <v>0</v>
      </c>
      <c r="Y56" s="40">
        <f t="shared" si="25"/>
        <v>0</v>
      </c>
      <c r="Z56" s="78">
        <f t="shared" si="26"/>
        <v>40035486</v>
      </c>
      <c r="AA56" s="79">
        <f t="shared" si="27"/>
        <v>8656678</v>
      </c>
      <c r="AB56" s="79">
        <f t="shared" si="28"/>
        <v>48692164</v>
      </c>
      <c r="AC56" s="40">
        <f t="shared" si="29"/>
        <v>0.593754193225489</v>
      </c>
      <c r="AD56" s="78">
        <v>8627457</v>
      </c>
      <c r="AE56" s="79">
        <v>2105175</v>
      </c>
      <c r="AF56" s="79">
        <f t="shared" si="30"/>
        <v>10732632</v>
      </c>
      <c r="AG56" s="40">
        <f>IF(70063674=0,0,33439045/70063674)</f>
        <v>0.4772665076056388</v>
      </c>
      <c r="AH56" s="40">
        <f t="shared" si="31"/>
        <v>-0.07404465186172415</v>
      </c>
      <c r="AI56" s="12">
        <v>70058468</v>
      </c>
      <c r="AJ56" s="12">
        <v>70063674</v>
      </c>
      <c r="AK56" s="12">
        <v>33439045</v>
      </c>
      <c r="AL56" s="12"/>
    </row>
    <row r="57" spans="1:38" s="13" customFormat="1" ht="12.75">
      <c r="A57" s="29" t="s">
        <v>95</v>
      </c>
      <c r="B57" s="61" t="s">
        <v>338</v>
      </c>
      <c r="C57" s="39" t="s">
        <v>339</v>
      </c>
      <c r="D57" s="78">
        <v>135256722</v>
      </c>
      <c r="E57" s="79">
        <v>48250000</v>
      </c>
      <c r="F57" s="80">
        <f t="shared" si="16"/>
        <v>183506722</v>
      </c>
      <c r="G57" s="78">
        <v>148185166</v>
      </c>
      <c r="H57" s="79">
        <v>42022278</v>
      </c>
      <c r="I57" s="80">
        <f t="shared" si="17"/>
        <v>190207444</v>
      </c>
      <c r="J57" s="78">
        <v>26894812</v>
      </c>
      <c r="K57" s="92">
        <v>1240003</v>
      </c>
      <c r="L57" s="79">
        <f t="shared" si="18"/>
        <v>28134815</v>
      </c>
      <c r="M57" s="40">
        <f t="shared" si="19"/>
        <v>0.15331762615213626</v>
      </c>
      <c r="N57" s="106">
        <v>34681121</v>
      </c>
      <c r="O57" s="107">
        <v>6851030</v>
      </c>
      <c r="P57" s="108">
        <f t="shared" si="20"/>
        <v>41532151</v>
      </c>
      <c r="Q57" s="40">
        <f t="shared" si="21"/>
        <v>0.22632495718603704</v>
      </c>
      <c r="R57" s="106">
        <v>39900870</v>
      </c>
      <c r="S57" s="108">
        <v>12869733</v>
      </c>
      <c r="T57" s="108">
        <f t="shared" si="22"/>
        <v>52770603</v>
      </c>
      <c r="U57" s="40">
        <f t="shared" si="23"/>
        <v>0.2774371070356216</v>
      </c>
      <c r="V57" s="106">
        <v>0</v>
      </c>
      <c r="W57" s="108">
        <v>0</v>
      </c>
      <c r="X57" s="108">
        <f t="shared" si="24"/>
        <v>0</v>
      </c>
      <c r="Y57" s="40">
        <f t="shared" si="25"/>
        <v>0</v>
      </c>
      <c r="Z57" s="78">
        <f t="shared" si="26"/>
        <v>101476803</v>
      </c>
      <c r="AA57" s="79">
        <f t="shared" si="27"/>
        <v>20960766</v>
      </c>
      <c r="AB57" s="79">
        <f t="shared" si="28"/>
        <v>122437569</v>
      </c>
      <c r="AC57" s="40">
        <f t="shared" si="29"/>
        <v>0.6437054535047535</v>
      </c>
      <c r="AD57" s="78">
        <v>35516665</v>
      </c>
      <c r="AE57" s="79">
        <v>7253855</v>
      </c>
      <c r="AF57" s="79">
        <f t="shared" si="30"/>
        <v>42770520</v>
      </c>
      <c r="AG57" s="40">
        <f>IF(148639587=0,0,108628606/148639587)</f>
        <v>0.7308188093929513</v>
      </c>
      <c r="AH57" s="40">
        <f t="shared" si="31"/>
        <v>0.2338078424110812</v>
      </c>
      <c r="AI57" s="12">
        <v>153536608</v>
      </c>
      <c r="AJ57" s="12">
        <v>148639587</v>
      </c>
      <c r="AK57" s="12">
        <v>108628606</v>
      </c>
      <c r="AL57" s="12"/>
    </row>
    <row r="58" spans="1:38" s="13" customFormat="1" ht="12.75">
      <c r="A58" s="29" t="s">
        <v>114</v>
      </c>
      <c r="B58" s="61" t="s">
        <v>340</v>
      </c>
      <c r="C58" s="39" t="s">
        <v>341</v>
      </c>
      <c r="D58" s="78">
        <v>366824000</v>
      </c>
      <c r="E58" s="79">
        <v>252173000</v>
      </c>
      <c r="F58" s="80">
        <f t="shared" si="16"/>
        <v>618997000</v>
      </c>
      <c r="G58" s="78">
        <v>406469057</v>
      </c>
      <c r="H58" s="79">
        <v>253371560</v>
      </c>
      <c r="I58" s="80">
        <f t="shared" si="17"/>
        <v>659840617</v>
      </c>
      <c r="J58" s="78">
        <v>52461862</v>
      </c>
      <c r="K58" s="92">
        <v>35277633</v>
      </c>
      <c r="L58" s="79">
        <f t="shared" si="18"/>
        <v>87739495</v>
      </c>
      <c r="M58" s="40">
        <f t="shared" si="19"/>
        <v>0.14174462073321842</v>
      </c>
      <c r="N58" s="106">
        <v>57867338</v>
      </c>
      <c r="O58" s="107">
        <v>24597478</v>
      </c>
      <c r="P58" s="108">
        <f t="shared" si="20"/>
        <v>82464816</v>
      </c>
      <c r="Q58" s="40">
        <f t="shared" si="21"/>
        <v>0.13322328864275595</v>
      </c>
      <c r="R58" s="106">
        <v>72751679</v>
      </c>
      <c r="S58" s="108">
        <v>17399823</v>
      </c>
      <c r="T58" s="108">
        <f t="shared" si="22"/>
        <v>90151502</v>
      </c>
      <c r="U58" s="40">
        <f t="shared" si="23"/>
        <v>0.13662617862155643</v>
      </c>
      <c r="V58" s="106">
        <v>0</v>
      </c>
      <c r="W58" s="108">
        <v>0</v>
      </c>
      <c r="X58" s="108">
        <f t="shared" si="24"/>
        <v>0</v>
      </c>
      <c r="Y58" s="40">
        <f t="shared" si="25"/>
        <v>0</v>
      </c>
      <c r="Z58" s="78">
        <f t="shared" si="26"/>
        <v>183080879</v>
      </c>
      <c r="AA58" s="79">
        <f t="shared" si="27"/>
        <v>77274934</v>
      </c>
      <c r="AB58" s="79">
        <f t="shared" si="28"/>
        <v>260355813</v>
      </c>
      <c r="AC58" s="40">
        <f t="shared" si="29"/>
        <v>0.3945737899308493</v>
      </c>
      <c r="AD58" s="78">
        <v>78524135</v>
      </c>
      <c r="AE58" s="79">
        <v>18783850</v>
      </c>
      <c r="AF58" s="79">
        <f t="shared" si="30"/>
        <v>97307985</v>
      </c>
      <c r="AG58" s="40">
        <f>IF(497101002=0,0,316449087/497101002)</f>
        <v>0.6365891151432441</v>
      </c>
      <c r="AH58" s="40">
        <f t="shared" si="31"/>
        <v>-0.07354466336960941</v>
      </c>
      <c r="AI58" s="12">
        <v>527235860</v>
      </c>
      <c r="AJ58" s="12">
        <v>497101002</v>
      </c>
      <c r="AK58" s="12">
        <v>316449087</v>
      </c>
      <c r="AL58" s="12"/>
    </row>
    <row r="59" spans="1:38" s="57" customFormat="1" ht="12.75">
      <c r="A59" s="62"/>
      <c r="B59" s="63" t="s">
        <v>342</v>
      </c>
      <c r="C59" s="32"/>
      <c r="D59" s="82">
        <f>SUM(D53:D58)</f>
        <v>954899047</v>
      </c>
      <c r="E59" s="83">
        <f>SUM(E53:E58)</f>
        <v>479777064</v>
      </c>
      <c r="F59" s="84">
        <f t="shared" si="16"/>
        <v>1434676111</v>
      </c>
      <c r="G59" s="82">
        <f>SUM(G53:G58)</f>
        <v>1036241404</v>
      </c>
      <c r="H59" s="83">
        <f>SUM(H53:H58)</f>
        <v>484747538</v>
      </c>
      <c r="I59" s="91">
        <f t="shared" si="17"/>
        <v>1520988942</v>
      </c>
      <c r="J59" s="82">
        <f>SUM(J53:J58)</f>
        <v>163523000</v>
      </c>
      <c r="K59" s="93">
        <f>SUM(K53:K58)</f>
        <v>62715822</v>
      </c>
      <c r="L59" s="83">
        <f t="shared" si="18"/>
        <v>226238822</v>
      </c>
      <c r="M59" s="44">
        <f t="shared" si="19"/>
        <v>0.15769330810304402</v>
      </c>
      <c r="N59" s="112">
        <f>SUM(N53:N58)</f>
        <v>191199552</v>
      </c>
      <c r="O59" s="113">
        <f>SUM(O53:O58)</f>
        <v>69011920</v>
      </c>
      <c r="P59" s="114">
        <f t="shared" si="20"/>
        <v>260211472</v>
      </c>
      <c r="Q59" s="44">
        <f t="shared" si="21"/>
        <v>0.1813729733177386</v>
      </c>
      <c r="R59" s="112">
        <f>SUM(R53:R58)</f>
        <v>165661236</v>
      </c>
      <c r="S59" s="114">
        <f>SUM(S53:S58)</f>
        <v>49462803</v>
      </c>
      <c r="T59" s="114">
        <f t="shared" si="22"/>
        <v>215124039</v>
      </c>
      <c r="U59" s="44">
        <f t="shared" si="23"/>
        <v>0.14143695135424594</v>
      </c>
      <c r="V59" s="112">
        <f>SUM(V53:V58)</f>
        <v>0</v>
      </c>
      <c r="W59" s="114">
        <f>SUM(W53:W58)</f>
        <v>0</v>
      </c>
      <c r="X59" s="114">
        <f t="shared" si="24"/>
        <v>0</v>
      </c>
      <c r="Y59" s="44">
        <f t="shared" si="25"/>
        <v>0</v>
      </c>
      <c r="Z59" s="82">
        <f t="shared" si="26"/>
        <v>520383788</v>
      </c>
      <c r="AA59" s="83">
        <f t="shared" si="27"/>
        <v>181190545</v>
      </c>
      <c r="AB59" s="83">
        <f t="shared" si="28"/>
        <v>701574333</v>
      </c>
      <c r="AC59" s="44">
        <f t="shared" si="29"/>
        <v>0.4612619550523991</v>
      </c>
      <c r="AD59" s="82">
        <f>SUM(AD53:AD58)</f>
        <v>193722007</v>
      </c>
      <c r="AE59" s="83">
        <f>SUM(AE53:AE58)</f>
        <v>52086437</v>
      </c>
      <c r="AF59" s="83">
        <f t="shared" si="30"/>
        <v>245808444</v>
      </c>
      <c r="AG59" s="44">
        <f>IF(497101002=0,0,316449087/497101002)</f>
        <v>0.6365891151432441</v>
      </c>
      <c r="AH59" s="44">
        <f t="shared" si="31"/>
        <v>-0.12483055708208302</v>
      </c>
      <c r="AI59" s="64">
        <f>SUM(AI53:AI58)</f>
        <v>1178874711</v>
      </c>
      <c r="AJ59" s="64">
        <f>SUM(AJ53:AJ58)</f>
        <v>1163352012</v>
      </c>
      <c r="AK59" s="64">
        <f>SUM(AK53:AK58)</f>
        <v>729383286</v>
      </c>
      <c r="AL59" s="64"/>
    </row>
    <row r="60" spans="1:38" s="13" customFormat="1" ht="12.75">
      <c r="A60" s="29" t="s">
        <v>95</v>
      </c>
      <c r="B60" s="61" t="s">
        <v>343</v>
      </c>
      <c r="C60" s="39" t="s">
        <v>344</v>
      </c>
      <c r="D60" s="78">
        <v>101743000</v>
      </c>
      <c r="E60" s="79">
        <v>63257000</v>
      </c>
      <c r="F60" s="80">
        <f t="shared" si="16"/>
        <v>165000000</v>
      </c>
      <c r="G60" s="78">
        <v>148000000</v>
      </c>
      <c r="H60" s="79">
        <v>46257319</v>
      </c>
      <c r="I60" s="80">
        <f t="shared" si="17"/>
        <v>194257319</v>
      </c>
      <c r="J60" s="78">
        <v>55928912</v>
      </c>
      <c r="K60" s="92">
        <v>6108349</v>
      </c>
      <c r="L60" s="79">
        <f t="shared" si="18"/>
        <v>62037261</v>
      </c>
      <c r="M60" s="40">
        <f t="shared" si="19"/>
        <v>0.3759834</v>
      </c>
      <c r="N60" s="106">
        <v>50262006</v>
      </c>
      <c r="O60" s="107">
        <v>0</v>
      </c>
      <c r="P60" s="108">
        <f t="shared" si="20"/>
        <v>50262006</v>
      </c>
      <c r="Q60" s="40">
        <f t="shared" si="21"/>
        <v>0.30461821818181817</v>
      </c>
      <c r="R60" s="106">
        <v>36566962</v>
      </c>
      <c r="S60" s="108">
        <v>0</v>
      </c>
      <c r="T60" s="108">
        <f t="shared" si="22"/>
        <v>36566962</v>
      </c>
      <c r="U60" s="40">
        <f t="shared" si="23"/>
        <v>0.18823981607611912</v>
      </c>
      <c r="V60" s="106">
        <v>0</v>
      </c>
      <c r="W60" s="108">
        <v>0</v>
      </c>
      <c r="X60" s="108">
        <f t="shared" si="24"/>
        <v>0</v>
      </c>
      <c r="Y60" s="40">
        <f t="shared" si="25"/>
        <v>0</v>
      </c>
      <c r="Z60" s="78">
        <f t="shared" si="26"/>
        <v>142757880</v>
      </c>
      <c r="AA60" s="79">
        <f t="shared" si="27"/>
        <v>6108349</v>
      </c>
      <c r="AB60" s="79">
        <f t="shared" si="28"/>
        <v>148866229</v>
      </c>
      <c r="AC60" s="40">
        <f t="shared" si="29"/>
        <v>0.7663352390856377</v>
      </c>
      <c r="AD60" s="78">
        <v>24723923</v>
      </c>
      <c r="AE60" s="79">
        <v>39991026</v>
      </c>
      <c r="AF60" s="79">
        <f t="shared" si="30"/>
        <v>64714949</v>
      </c>
      <c r="AG60" s="40">
        <f>IF(135000533=0,0,120496597/135000533)</f>
        <v>0.8925638612108294</v>
      </c>
      <c r="AH60" s="40">
        <f t="shared" si="31"/>
        <v>-0.4349533984798474</v>
      </c>
      <c r="AI60" s="12">
        <v>136190000</v>
      </c>
      <c r="AJ60" s="12">
        <v>135000533</v>
      </c>
      <c r="AK60" s="12">
        <v>120496597</v>
      </c>
      <c r="AL60" s="12"/>
    </row>
    <row r="61" spans="1:38" s="13" customFormat="1" ht="12.75">
      <c r="A61" s="29" t="s">
        <v>95</v>
      </c>
      <c r="B61" s="61" t="s">
        <v>91</v>
      </c>
      <c r="C61" s="39" t="s">
        <v>92</v>
      </c>
      <c r="D61" s="78">
        <v>2519363600</v>
      </c>
      <c r="E61" s="79">
        <v>448780800</v>
      </c>
      <c r="F61" s="80">
        <f t="shared" si="16"/>
        <v>2968144400</v>
      </c>
      <c r="G61" s="78">
        <v>2474870700</v>
      </c>
      <c r="H61" s="79">
        <v>510260500</v>
      </c>
      <c r="I61" s="80">
        <f t="shared" si="17"/>
        <v>2985131200</v>
      </c>
      <c r="J61" s="78">
        <v>593476088</v>
      </c>
      <c r="K61" s="92">
        <v>35737340</v>
      </c>
      <c r="L61" s="79">
        <f t="shared" si="18"/>
        <v>629213428</v>
      </c>
      <c r="M61" s="40">
        <f t="shared" si="19"/>
        <v>0.21198881968141442</v>
      </c>
      <c r="N61" s="106">
        <v>528180641</v>
      </c>
      <c r="O61" s="107">
        <v>64063951</v>
      </c>
      <c r="P61" s="108">
        <f t="shared" si="20"/>
        <v>592244592</v>
      </c>
      <c r="Q61" s="40">
        <f t="shared" si="21"/>
        <v>0.19953361837786598</v>
      </c>
      <c r="R61" s="106">
        <v>748279090</v>
      </c>
      <c r="S61" s="108">
        <v>150412207</v>
      </c>
      <c r="T61" s="108">
        <f t="shared" si="22"/>
        <v>898691297</v>
      </c>
      <c r="U61" s="40">
        <f t="shared" si="23"/>
        <v>0.3010558788839834</v>
      </c>
      <c r="V61" s="106">
        <v>0</v>
      </c>
      <c r="W61" s="108">
        <v>0</v>
      </c>
      <c r="X61" s="108">
        <f t="shared" si="24"/>
        <v>0</v>
      </c>
      <c r="Y61" s="40">
        <f t="shared" si="25"/>
        <v>0</v>
      </c>
      <c r="Z61" s="78">
        <f t="shared" si="26"/>
        <v>1869935819</v>
      </c>
      <c r="AA61" s="79">
        <f t="shared" si="27"/>
        <v>250213498</v>
      </c>
      <c r="AB61" s="79">
        <f t="shared" si="28"/>
        <v>2120149317</v>
      </c>
      <c r="AC61" s="40">
        <f t="shared" si="29"/>
        <v>0.7102365607916998</v>
      </c>
      <c r="AD61" s="78">
        <v>569769488</v>
      </c>
      <c r="AE61" s="79">
        <v>64986658</v>
      </c>
      <c r="AF61" s="79">
        <f t="shared" si="30"/>
        <v>634756146</v>
      </c>
      <c r="AG61" s="40">
        <f>IF(2826246900=0,0,1966947115/2826246900)</f>
        <v>0.6959572834914034</v>
      </c>
      <c r="AH61" s="40">
        <f t="shared" si="31"/>
        <v>0.4158055855988514</v>
      </c>
      <c r="AI61" s="12">
        <v>2783109400</v>
      </c>
      <c r="AJ61" s="12">
        <v>2826246900</v>
      </c>
      <c r="AK61" s="12">
        <v>1966947115</v>
      </c>
      <c r="AL61" s="12"/>
    </row>
    <row r="62" spans="1:38" s="13" customFormat="1" ht="12.75">
      <c r="A62" s="29" t="s">
        <v>95</v>
      </c>
      <c r="B62" s="61" t="s">
        <v>345</v>
      </c>
      <c r="C62" s="39" t="s">
        <v>346</v>
      </c>
      <c r="D62" s="78">
        <v>67175439</v>
      </c>
      <c r="E62" s="79">
        <v>15366838</v>
      </c>
      <c r="F62" s="80">
        <f t="shared" si="16"/>
        <v>82542277</v>
      </c>
      <c r="G62" s="78">
        <v>67175439</v>
      </c>
      <c r="H62" s="79">
        <v>15366838</v>
      </c>
      <c r="I62" s="80">
        <f t="shared" si="17"/>
        <v>82542277</v>
      </c>
      <c r="J62" s="78">
        <v>15770204</v>
      </c>
      <c r="K62" s="92">
        <v>5578214</v>
      </c>
      <c r="L62" s="79">
        <f t="shared" si="18"/>
        <v>21348418</v>
      </c>
      <c r="M62" s="40">
        <f t="shared" si="19"/>
        <v>0.25863616531925815</v>
      </c>
      <c r="N62" s="106">
        <v>20919721</v>
      </c>
      <c r="O62" s="107">
        <v>1911440</v>
      </c>
      <c r="P62" s="108">
        <f t="shared" si="20"/>
        <v>22831161</v>
      </c>
      <c r="Q62" s="40">
        <f t="shared" si="21"/>
        <v>0.2765996024073821</v>
      </c>
      <c r="R62" s="106">
        <v>21402162</v>
      </c>
      <c r="S62" s="108">
        <v>7656741</v>
      </c>
      <c r="T62" s="108">
        <f t="shared" si="22"/>
        <v>29058903</v>
      </c>
      <c r="U62" s="40">
        <f t="shared" si="23"/>
        <v>0.35204872043934526</v>
      </c>
      <c r="V62" s="106">
        <v>0</v>
      </c>
      <c r="W62" s="108">
        <v>0</v>
      </c>
      <c r="X62" s="108">
        <f t="shared" si="24"/>
        <v>0</v>
      </c>
      <c r="Y62" s="40">
        <f t="shared" si="25"/>
        <v>0</v>
      </c>
      <c r="Z62" s="78">
        <f t="shared" si="26"/>
        <v>58092087</v>
      </c>
      <c r="AA62" s="79">
        <f t="shared" si="27"/>
        <v>15146395</v>
      </c>
      <c r="AB62" s="79">
        <f t="shared" si="28"/>
        <v>73238482</v>
      </c>
      <c r="AC62" s="40">
        <f t="shared" si="29"/>
        <v>0.8872844881659855</v>
      </c>
      <c r="AD62" s="78">
        <v>9873736</v>
      </c>
      <c r="AE62" s="79">
        <v>3790413</v>
      </c>
      <c r="AF62" s="79">
        <f t="shared" si="30"/>
        <v>13664149</v>
      </c>
      <c r="AG62" s="40">
        <f>IF(68914805=0,0,32470667/68914805)</f>
        <v>0.4711711365939438</v>
      </c>
      <c r="AH62" s="40">
        <f t="shared" si="31"/>
        <v>1.1266529660939733</v>
      </c>
      <c r="AI62" s="12">
        <v>62818207</v>
      </c>
      <c r="AJ62" s="12">
        <v>68914805</v>
      </c>
      <c r="AK62" s="12">
        <v>32470667</v>
      </c>
      <c r="AL62" s="12"/>
    </row>
    <row r="63" spans="1:38" s="13" customFormat="1" ht="12.75">
      <c r="A63" s="29" t="s">
        <v>95</v>
      </c>
      <c r="B63" s="61" t="s">
        <v>347</v>
      </c>
      <c r="C63" s="39" t="s">
        <v>348</v>
      </c>
      <c r="D63" s="78">
        <v>317056630</v>
      </c>
      <c r="E63" s="79">
        <v>72363900</v>
      </c>
      <c r="F63" s="80">
        <f t="shared" si="16"/>
        <v>389420530</v>
      </c>
      <c r="G63" s="78">
        <v>317056630</v>
      </c>
      <c r="H63" s="79">
        <v>79744790</v>
      </c>
      <c r="I63" s="80">
        <f t="shared" si="17"/>
        <v>396801420</v>
      </c>
      <c r="J63" s="78">
        <v>67385858</v>
      </c>
      <c r="K63" s="92">
        <v>8926029</v>
      </c>
      <c r="L63" s="79">
        <f t="shared" si="18"/>
        <v>76311887</v>
      </c>
      <c r="M63" s="40">
        <f t="shared" si="19"/>
        <v>0.19596267048375698</v>
      </c>
      <c r="N63" s="106">
        <v>71628223</v>
      </c>
      <c r="O63" s="107">
        <v>15637405</v>
      </c>
      <c r="P63" s="108">
        <f t="shared" si="20"/>
        <v>87265628</v>
      </c>
      <c r="Q63" s="40">
        <f t="shared" si="21"/>
        <v>0.22409097948688017</v>
      </c>
      <c r="R63" s="106">
        <v>79040986</v>
      </c>
      <c r="S63" s="108">
        <v>12314051</v>
      </c>
      <c r="T63" s="108">
        <f t="shared" si="22"/>
        <v>91355037</v>
      </c>
      <c r="U63" s="40">
        <f t="shared" si="23"/>
        <v>0.2302286040206207</v>
      </c>
      <c r="V63" s="106">
        <v>0</v>
      </c>
      <c r="W63" s="108">
        <v>0</v>
      </c>
      <c r="X63" s="108">
        <f t="shared" si="24"/>
        <v>0</v>
      </c>
      <c r="Y63" s="40">
        <f t="shared" si="25"/>
        <v>0</v>
      </c>
      <c r="Z63" s="78">
        <f t="shared" si="26"/>
        <v>218055067</v>
      </c>
      <c r="AA63" s="79">
        <f t="shared" si="27"/>
        <v>36877485</v>
      </c>
      <c r="AB63" s="79">
        <f t="shared" si="28"/>
        <v>254932552</v>
      </c>
      <c r="AC63" s="40">
        <f t="shared" si="29"/>
        <v>0.6424688500358693</v>
      </c>
      <c r="AD63" s="78">
        <v>55164631</v>
      </c>
      <c r="AE63" s="79">
        <v>11170415</v>
      </c>
      <c r="AF63" s="79">
        <f t="shared" si="30"/>
        <v>66335046</v>
      </c>
      <c r="AG63" s="40">
        <f>IF(357571290=0,0,197315696/357571290)</f>
        <v>0.5518219765350848</v>
      </c>
      <c r="AH63" s="40">
        <f t="shared" si="31"/>
        <v>0.37717605562525724</v>
      </c>
      <c r="AI63" s="12">
        <v>296504630</v>
      </c>
      <c r="AJ63" s="12">
        <v>357571290</v>
      </c>
      <c r="AK63" s="12">
        <v>197315696</v>
      </c>
      <c r="AL63" s="12"/>
    </row>
    <row r="64" spans="1:38" s="13" customFormat="1" ht="12.75">
      <c r="A64" s="29" t="s">
        <v>95</v>
      </c>
      <c r="B64" s="61" t="s">
        <v>349</v>
      </c>
      <c r="C64" s="39" t="s">
        <v>350</v>
      </c>
      <c r="D64" s="78">
        <v>105091359</v>
      </c>
      <c r="E64" s="79">
        <v>28956000</v>
      </c>
      <c r="F64" s="80">
        <f t="shared" si="16"/>
        <v>134047359</v>
      </c>
      <c r="G64" s="78">
        <v>105091359</v>
      </c>
      <c r="H64" s="79">
        <v>28956000</v>
      </c>
      <c r="I64" s="80">
        <f t="shared" si="17"/>
        <v>134047359</v>
      </c>
      <c r="J64" s="78">
        <v>18867560</v>
      </c>
      <c r="K64" s="92">
        <v>7507641</v>
      </c>
      <c r="L64" s="79">
        <f t="shared" si="18"/>
        <v>26375201</v>
      </c>
      <c r="M64" s="40">
        <f t="shared" si="19"/>
        <v>0.1967603181201056</v>
      </c>
      <c r="N64" s="106">
        <v>19561420</v>
      </c>
      <c r="O64" s="107">
        <v>17932578</v>
      </c>
      <c r="P64" s="108">
        <f t="shared" si="20"/>
        <v>37493998</v>
      </c>
      <c r="Q64" s="40">
        <f t="shared" si="21"/>
        <v>0.27970709963782275</v>
      </c>
      <c r="R64" s="106">
        <v>16277822</v>
      </c>
      <c r="S64" s="108">
        <v>4566145</v>
      </c>
      <c r="T64" s="108">
        <f t="shared" si="22"/>
        <v>20843967</v>
      </c>
      <c r="U64" s="40">
        <f t="shared" si="23"/>
        <v>0.15549703593936529</v>
      </c>
      <c r="V64" s="106">
        <v>0</v>
      </c>
      <c r="W64" s="108">
        <v>0</v>
      </c>
      <c r="X64" s="108">
        <f t="shared" si="24"/>
        <v>0</v>
      </c>
      <c r="Y64" s="40">
        <f t="shared" si="25"/>
        <v>0</v>
      </c>
      <c r="Z64" s="78">
        <f t="shared" si="26"/>
        <v>54706802</v>
      </c>
      <c r="AA64" s="79">
        <f t="shared" si="27"/>
        <v>30006364</v>
      </c>
      <c r="AB64" s="79">
        <f t="shared" si="28"/>
        <v>84713166</v>
      </c>
      <c r="AC64" s="40">
        <f t="shared" si="29"/>
        <v>0.6319644536972937</v>
      </c>
      <c r="AD64" s="78">
        <v>21183324</v>
      </c>
      <c r="AE64" s="79">
        <v>8903404</v>
      </c>
      <c r="AF64" s="79">
        <f t="shared" si="30"/>
        <v>30086728</v>
      </c>
      <c r="AG64" s="40">
        <f>IF(123907301=0,0,75008263/123907301)</f>
        <v>0.6053578957385247</v>
      </c>
      <c r="AH64" s="40">
        <f t="shared" si="31"/>
        <v>-0.30720392725988677</v>
      </c>
      <c r="AI64" s="12">
        <v>103362313</v>
      </c>
      <c r="AJ64" s="12">
        <v>123907301</v>
      </c>
      <c r="AK64" s="12">
        <v>75008263</v>
      </c>
      <c r="AL64" s="12"/>
    </row>
    <row r="65" spans="1:38" s="13" customFormat="1" ht="12.75">
      <c r="A65" s="29" t="s">
        <v>95</v>
      </c>
      <c r="B65" s="61" t="s">
        <v>351</v>
      </c>
      <c r="C65" s="39" t="s">
        <v>352</v>
      </c>
      <c r="D65" s="78">
        <v>122904402</v>
      </c>
      <c r="E65" s="79">
        <v>60208000</v>
      </c>
      <c r="F65" s="80">
        <f t="shared" si="16"/>
        <v>183112402</v>
      </c>
      <c r="G65" s="78">
        <v>124629525</v>
      </c>
      <c r="H65" s="79">
        <v>57588000</v>
      </c>
      <c r="I65" s="80">
        <f t="shared" si="17"/>
        <v>182217525</v>
      </c>
      <c r="J65" s="78">
        <v>48151563</v>
      </c>
      <c r="K65" s="92">
        <v>12747932</v>
      </c>
      <c r="L65" s="79">
        <f t="shared" si="18"/>
        <v>60899495</v>
      </c>
      <c r="M65" s="40">
        <f t="shared" si="19"/>
        <v>0.33257984896074927</v>
      </c>
      <c r="N65" s="106">
        <v>41861357</v>
      </c>
      <c r="O65" s="107">
        <v>11598044</v>
      </c>
      <c r="P65" s="108">
        <f t="shared" si="20"/>
        <v>53459401</v>
      </c>
      <c r="Q65" s="40">
        <f t="shared" si="21"/>
        <v>0.29194855409083653</v>
      </c>
      <c r="R65" s="106">
        <v>29193535</v>
      </c>
      <c r="S65" s="108">
        <v>18640765</v>
      </c>
      <c r="T65" s="108">
        <f t="shared" si="22"/>
        <v>47834300</v>
      </c>
      <c r="U65" s="40">
        <f t="shared" si="23"/>
        <v>0.26251207176697194</v>
      </c>
      <c r="V65" s="106">
        <v>0</v>
      </c>
      <c r="W65" s="108">
        <v>0</v>
      </c>
      <c r="X65" s="108">
        <f t="shared" si="24"/>
        <v>0</v>
      </c>
      <c r="Y65" s="40">
        <f t="shared" si="25"/>
        <v>0</v>
      </c>
      <c r="Z65" s="78">
        <f t="shared" si="26"/>
        <v>119206455</v>
      </c>
      <c r="AA65" s="79">
        <f t="shared" si="27"/>
        <v>42986741</v>
      </c>
      <c r="AB65" s="79">
        <f t="shared" si="28"/>
        <v>162193196</v>
      </c>
      <c r="AC65" s="40">
        <f t="shared" si="29"/>
        <v>0.8901075568883948</v>
      </c>
      <c r="AD65" s="78">
        <v>25956060</v>
      </c>
      <c r="AE65" s="79">
        <v>3650505</v>
      </c>
      <c r="AF65" s="79">
        <f t="shared" si="30"/>
        <v>29606565</v>
      </c>
      <c r="AG65" s="40">
        <f>IF(134437000=0,0,112265961/134437000)</f>
        <v>0.8350823136487723</v>
      </c>
      <c r="AH65" s="40">
        <f t="shared" si="31"/>
        <v>0.6156653093663518</v>
      </c>
      <c r="AI65" s="12">
        <v>129082600</v>
      </c>
      <c r="AJ65" s="12">
        <v>134437000</v>
      </c>
      <c r="AK65" s="12">
        <v>112265961</v>
      </c>
      <c r="AL65" s="12"/>
    </row>
    <row r="66" spans="1:38" s="13" customFormat="1" ht="12.75">
      <c r="A66" s="29" t="s">
        <v>114</v>
      </c>
      <c r="B66" s="61" t="s">
        <v>353</v>
      </c>
      <c r="C66" s="39" t="s">
        <v>354</v>
      </c>
      <c r="D66" s="78">
        <v>644058764</v>
      </c>
      <c r="E66" s="79">
        <v>512244979</v>
      </c>
      <c r="F66" s="80">
        <f t="shared" si="16"/>
        <v>1156303743</v>
      </c>
      <c r="G66" s="78">
        <v>644058764</v>
      </c>
      <c r="H66" s="79">
        <v>549902434</v>
      </c>
      <c r="I66" s="80">
        <f t="shared" si="17"/>
        <v>1193961198</v>
      </c>
      <c r="J66" s="78">
        <v>151820737</v>
      </c>
      <c r="K66" s="92">
        <v>29536679</v>
      </c>
      <c r="L66" s="79">
        <f t="shared" si="18"/>
        <v>181357416</v>
      </c>
      <c r="M66" s="40">
        <f t="shared" si="19"/>
        <v>0.15684236698004012</v>
      </c>
      <c r="N66" s="106">
        <v>201662003</v>
      </c>
      <c r="O66" s="107">
        <v>86264746</v>
      </c>
      <c r="P66" s="108">
        <f t="shared" si="20"/>
        <v>287926749</v>
      </c>
      <c r="Q66" s="40">
        <f t="shared" si="21"/>
        <v>0.2490061549511044</v>
      </c>
      <c r="R66" s="106">
        <v>155755416</v>
      </c>
      <c r="S66" s="108">
        <v>92607573</v>
      </c>
      <c r="T66" s="108">
        <f t="shared" si="22"/>
        <v>248362989</v>
      </c>
      <c r="U66" s="40">
        <f t="shared" si="23"/>
        <v>0.20801596351374896</v>
      </c>
      <c r="V66" s="106">
        <v>0</v>
      </c>
      <c r="W66" s="108">
        <v>0</v>
      </c>
      <c r="X66" s="108">
        <f t="shared" si="24"/>
        <v>0</v>
      </c>
      <c r="Y66" s="40">
        <f t="shared" si="25"/>
        <v>0</v>
      </c>
      <c r="Z66" s="78">
        <f t="shared" si="26"/>
        <v>509238156</v>
      </c>
      <c r="AA66" s="79">
        <f t="shared" si="27"/>
        <v>208408998</v>
      </c>
      <c r="AB66" s="79">
        <f t="shared" si="28"/>
        <v>717647154</v>
      </c>
      <c r="AC66" s="40">
        <f t="shared" si="29"/>
        <v>0.601064050659375</v>
      </c>
      <c r="AD66" s="78">
        <v>126914481</v>
      </c>
      <c r="AE66" s="79">
        <v>41251924</v>
      </c>
      <c r="AF66" s="79">
        <f t="shared" si="30"/>
        <v>168166405</v>
      </c>
      <c r="AG66" s="40">
        <f>IF(1033170760=0,0,499671923/1033170760)</f>
        <v>0.4836295628420611</v>
      </c>
      <c r="AH66" s="40">
        <f t="shared" si="31"/>
        <v>0.4768882583890641</v>
      </c>
      <c r="AI66" s="12">
        <v>954992400</v>
      </c>
      <c r="AJ66" s="12">
        <v>1033170760</v>
      </c>
      <c r="AK66" s="12">
        <v>499671923</v>
      </c>
      <c r="AL66" s="12"/>
    </row>
    <row r="67" spans="1:38" s="57" customFormat="1" ht="12.75">
      <c r="A67" s="62"/>
      <c r="B67" s="63" t="s">
        <v>355</v>
      </c>
      <c r="C67" s="32"/>
      <c r="D67" s="82">
        <f>SUM(D60:D66)</f>
        <v>3877393194</v>
      </c>
      <c r="E67" s="83">
        <f>SUM(E60:E66)</f>
        <v>1201177517</v>
      </c>
      <c r="F67" s="91">
        <f t="shared" si="16"/>
        <v>5078570711</v>
      </c>
      <c r="G67" s="82">
        <f>SUM(G60:G66)</f>
        <v>3880882417</v>
      </c>
      <c r="H67" s="83">
        <f>SUM(H60:H66)</f>
        <v>1288075881</v>
      </c>
      <c r="I67" s="91">
        <f t="shared" si="17"/>
        <v>5168958298</v>
      </c>
      <c r="J67" s="82">
        <f>SUM(J60:J66)</f>
        <v>951400922</v>
      </c>
      <c r="K67" s="93">
        <f>SUM(K60:K66)</f>
        <v>106142184</v>
      </c>
      <c r="L67" s="83">
        <f t="shared" si="18"/>
        <v>1057543106</v>
      </c>
      <c r="M67" s="44">
        <f t="shared" si="19"/>
        <v>0.20823636534377674</v>
      </c>
      <c r="N67" s="112">
        <f>SUM(N60:N66)</f>
        <v>934075371</v>
      </c>
      <c r="O67" s="113">
        <f>SUM(O60:O66)</f>
        <v>197408164</v>
      </c>
      <c r="P67" s="114">
        <f t="shared" si="20"/>
        <v>1131483535</v>
      </c>
      <c r="Q67" s="44">
        <f t="shared" si="21"/>
        <v>0.22279566425042535</v>
      </c>
      <c r="R67" s="112">
        <f>SUM(R60:R66)</f>
        <v>1086515973</v>
      </c>
      <c r="S67" s="114">
        <f>SUM(S60:S66)</f>
        <v>286197482</v>
      </c>
      <c r="T67" s="114">
        <f t="shared" si="22"/>
        <v>1372713455</v>
      </c>
      <c r="U67" s="44">
        <f t="shared" si="23"/>
        <v>0.2655686844158014</v>
      </c>
      <c r="V67" s="112">
        <f>SUM(V60:V66)</f>
        <v>0</v>
      </c>
      <c r="W67" s="114">
        <f>SUM(W60:W66)</f>
        <v>0</v>
      </c>
      <c r="X67" s="114">
        <f t="shared" si="24"/>
        <v>0</v>
      </c>
      <c r="Y67" s="44">
        <f t="shared" si="25"/>
        <v>0</v>
      </c>
      <c r="Z67" s="82">
        <f t="shared" si="26"/>
        <v>2971992266</v>
      </c>
      <c r="AA67" s="83">
        <f t="shared" si="27"/>
        <v>589747830</v>
      </c>
      <c r="AB67" s="83">
        <f t="shared" si="28"/>
        <v>3561740096</v>
      </c>
      <c r="AC67" s="44">
        <f t="shared" si="29"/>
        <v>0.689063422581321</v>
      </c>
      <c r="AD67" s="82">
        <f>SUM(AD60:AD66)</f>
        <v>833585643</v>
      </c>
      <c r="AE67" s="83">
        <f>SUM(AE60:AE66)</f>
        <v>173744345</v>
      </c>
      <c r="AF67" s="83">
        <f t="shared" si="30"/>
        <v>1007329988</v>
      </c>
      <c r="AG67" s="44">
        <f>IF(1033170760=0,0,499671923/1033170760)</f>
        <v>0.4836295628420611</v>
      </c>
      <c r="AH67" s="44">
        <f t="shared" si="31"/>
        <v>0.36272469930677764</v>
      </c>
      <c r="AI67" s="64">
        <f>SUM(AI60:AI66)</f>
        <v>4466059550</v>
      </c>
      <c r="AJ67" s="64">
        <f>SUM(AJ60:AJ66)</f>
        <v>4679248589</v>
      </c>
      <c r="AK67" s="64">
        <f>SUM(AK60:AK66)</f>
        <v>3004176222</v>
      </c>
      <c r="AL67" s="64"/>
    </row>
    <row r="68" spans="1:38" s="13" customFormat="1" ht="12.75">
      <c r="A68" s="29" t="s">
        <v>95</v>
      </c>
      <c r="B68" s="61" t="s">
        <v>356</v>
      </c>
      <c r="C68" s="39" t="s">
        <v>357</v>
      </c>
      <c r="D68" s="78">
        <v>202737948</v>
      </c>
      <c r="E68" s="79">
        <v>82112000</v>
      </c>
      <c r="F68" s="80">
        <f t="shared" si="16"/>
        <v>284849948</v>
      </c>
      <c r="G68" s="78">
        <v>200387948</v>
      </c>
      <c r="H68" s="79">
        <v>64719000</v>
      </c>
      <c r="I68" s="80">
        <f t="shared" si="17"/>
        <v>265106948</v>
      </c>
      <c r="J68" s="78">
        <v>47467197</v>
      </c>
      <c r="K68" s="92">
        <v>6558301</v>
      </c>
      <c r="L68" s="79">
        <f t="shared" si="18"/>
        <v>54025498</v>
      </c>
      <c r="M68" s="40">
        <f t="shared" si="19"/>
        <v>0.18966300811822512</v>
      </c>
      <c r="N68" s="106">
        <v>60317040</v>
      </c>
      <c r="O68" s="107">
        <v>12900888</v>
      </c>
      <c r="P68" s="108">
        <f t="shared" si="20"/>
        <v>73217928</v>
      </c>
      <c r="Q68" s="40">
        <f t="shared" si="21"/>
        <v>0.2570403418153336</v>
      </c>
      <c r="R68" s="106">
        <v>56026051</v>
      </c>
      <c r="S68" s="108">
        <v>9833610</v>
      </c>
      <c r="T68" s="108">
        <f t="shared" si="22"/>
        <v>65859661</v>
      </c>
      <c r="U68" s="40">
        <f t="shared" si="23"/>
        <v>0.24842676322462887</v>
      </c>
      <c r="V68" s="106">
        <v>0</v>
      </c>
      <c r="W68" s="108">
        <v>0</v>
      </c>
      <c r="X68" s="108">
        <f t="shared" si="24"/>
        <v>0</v>
      </c>
      <c r="Y68" s="40">
        <f t="shared" si="25"/>
        <v>0</v>
      </c>
      <c r="Z68" s="78">
        <f t="shared" si="26"/>
        <v>163810288</v>
      </c>
      <c r="AA68" s="79">
        <f t="shared" si="27"/>
        <v>29292799</v>
      </c>
      <c r="AB68" s="79">
        <f t="shared" si="28"/>
        <v>193103087</v>
      </c>
      <c r="AC68" s="40">
        <f t="shared" si="29"/>
        <v>0.7283969298307489</v>
      </c>
      <c r="AD68" s="78">
        <v>46043002</v>
      </c>
      <c r="AE68" s="79">
        <v>10966669</v>
      </c>
      <c r="AF68" s="79">
        <f t="shared" si="30"/>
        <v>57009671</v>
      </c>
      <c r="AG68" s="40">
        <f>IF(250065889=0,0,177094399/250065889)</f>
        <v>0.708190948026502</v>
      </c>
      <c r="AH68" s="40">
        <f t="shared" si="31"/>
        <v>0.15523664397221304</v>
      </c>
      <c r="AI68" s="12">
        <v>240735339</v>
      </c>
      <c r="AJ68" s="12">
        <v>250065889</v>
      </c>
      <c r="AK68" s="12">
        <v>177094399</v>
      </c>
      <c r="AL68" s="12"/>
    </row>
    <row r="69" spans="1:38" s="13" customFormat="1" ht="12.75">
      <c r="A69" s="29" t="s">
        <v>95</v>
      </c>
      <c r="B69" s="61" t="s">
        <v>358</v>
      </c>
      <c r="C69" s="39" t="s">
        <v>359</v>
      </c>
      <c r="D69" s="78">
        <v>1263176917</v>
      </c>
      <c r="E69" s="79">
        <v>375343940</v>
      </c>
      <c r="F69" s="80">
        <f t="shared" si="16"/>
        <v>1638520857</v>
      </c>
      <c r="G69" s="78">
        <v>1273058925</v>
      </c>
      <c r="H69" s="79">
        <v>359370373</v>
      </c>
      <c r="I69" s="80">
        <f t="shared" si="17"/>
        <v>1632429298</v>
      </c>
      <c r="J69" s="78">
        <v>273714235</v>
      </c>
      <c r="K69" s="92">
        <v>20726538</v>
      </c>
      <c r="L69" s="79">
        <f t="shared" si="18"/>
        <v>294440773</v>
      </c>
      <c r="M69" s="40">
        <f t="shared" si="19"/>
        <v>0.17969913031140622</v>
      </c>
      <c r="N69" s="106">
        <v>290774884</v>
      </c>
      <c r="O69" s="107">
        <v>70101574</v>
      </c>
      <c r="P69" s="108">
        <f t="shared" si="20"/>
        <v>360876458</v>
      </c>
      <c r="Q69" s="40">
        <f t="shared" si="21"/>
        <v>0.220245263560902</v>
      </c>
      <c r="R69" s="106">
        <v>266053647</v>
      </c>
      <c r="S69" s="108">
        <v>60185588</v>
      </c>
      <c r="T69" s="108">
        <f t="shared" si="22"/>
        <v>326239235</v>
      </c>
      <c r="U69" s="40">
        <f t="shared" si="23"/>
        <v>0.199848921726471</v>
      </c>
      <c r="V69" s="106">
        <v>0</v>
      </c>
      <c r="W69" s="108">
        <v>0</v>
      </c>
      <c r="X69" s="108">
        <f t="shared" si="24"/>
        <v>0</v>
      </c>
      <c r="Y69" s="40">
        <f t="shared" si="25"/>
        <v>0</v>
      </c>
      <c r="Z69" s="78">
        <f t="shared" si="26"/>
        <v>830542766</v>
      </c>
      <c r="AA69" s="79">
        <f t="shared" si="27"/>
        <v>151013700</v>
      </c>
      <c r="AB69" s="79">
        <f t="shared" si="28"/>
        <v>981556466</v>
      </c>
      <c r="AC69" s="40">
        <f t="shared" si="29"/>
        <v>0.6012857446276978</v>
      </c>
      <c r="AD69" s="78">
        <v>237228004</v>
      </c>
      <c r="AE69" s="79">
        <v>36320259</v>
      </c>
      <c r="AF69" s="79">
        <f t="shared" si="30"/>
        <v>273548263</v>
      </c>
      <c r="AG69" s="40">
        <f>IF(1583971269=0,0,878644896/1583971269)</f>
        <v>0.5547101220811348</v>
      </c>
      <c r="AH69" s="40">
        <f t="shared" si="31"/>
        <v>0.19262038596823405</v>
      </c>
      <c r="AI69" s="12">
        <v>1578823526</v>
      </c>
      <c r="AJ69" s="12">
        <v>1583971269</v>
      </c>
      <c r="AK69" s="12">
        <v>878644896</v>
      </c>
      <c r="AL69" s="12"/>
    </row>
    <row r="70" spans="1:38" s="13" customFormat="1" ht="12.75">
      <c r="A70" s="29" t="s">
        <v>95</v>
      </c>
      <c r="B70" s="61" t="s">
        <v>360</v>
      </c>
      <c r="C70" s="39" t="s">
        <v>361</v>
      </c>
      <c r="D70" s="78">
        <v>115992372</v>
      </c>
      <c r="E70" s="79">
        <v>61927000</v>
      </c>
      <c r="F70" s="80">
        <f t="shared" si="16"/>
        <v>177919372</v>
      </c>
      <c r="G70" s="78">
        <v>111951042</v>
      </c>
      <c r="H70" s="79">
        <v>64667000</v>
      </c>
      <c r="I70" s="80">
        <f t="shared" si="17"/>
        <v>176618042</v>
      </c>
      <c r="J70" s="78">
        <v>18603305</v>
      </c>
      <c r="K70" s="92">
        <v>8929038</v>
      </c>
      <c r="L70" s="79">
        <f t="shared" si="18"/>
        <v>27532343</v>
      </c>
      <c r="M70" s="40">
        <f t="shared" si="19"/>
        <v>0.15474617907261948</v>
      </c>
      <c r="N70" s="106">
        <v>28706915</v>
      </c>
      <c r="O70" s="107">
        <v>9443959</v>
      </c>
      <c r="P70" s="108">
        <f t="shared" si="20"/>
        <v>38150874</v>
      </c>
      <c r="Q70" s="40">
        <f t="shared" si="21"/>
        <v>0.214427881411362</v>
      </c>
      <c r="R70" s="106">
        <v>19707228</v>
      </c>
      <c r="S70" s="108">
        <v>12435088</v>
      </c>
      <c r="T70" s="108">
        <f t="shared" si="22"/>
        <v>32142316</v>
      </c>
      <c r="U70" s="40">
        <f t="shared" si="23"/>
        <v>0.18198772693901794</v>
      </c>
      <c r="V70" s="106">
        <v>0</v>
      </c>
      <c r="W70" s="108">
        <v>0</v>
      </c>
      <c r="X70" s="108">
        <f t="shared" si="24"/>
        <v>0</v>
      </c>
      <c r="Y70" s="40">
        <f t="shared" si="25"/>
        <v>0</v>
      </c>
      <c r="Z70" s="78">
        <f t="shared" si="26"/>
        <v>67017448</v>
      </c>
      <c r="AA70" s="79">
        <f t="shared" si="27"/>
        <v>30808085</v>
      </c>
      <c r="AB70" s="79">
        <f t="shared" si="28"/>
        <v>97825533</v>
      </c>
      <c r="AC70" s="40">
        <f t="shared" si="29"/>
        <v>0.5538818791797047</v>
      </c>
      <c r="AD70" s="78">
        <v>25518539</v>
      </c>
      <c r="AE70" s="79">
        <v>25131259</v>
      </c>
      <c r="AF70" s="79">
        <f t="shared" si="30"/>
        <v>50649798</v>
      </c>
      <c r="AG70" s="40">
        <f>IF(203485190=0,0,110973919/203485190)</f>
        <v>0.5453660730788319</v>
      </c>
      <c r="AH70" s="40">
        <f t="shared" si="31"/>
        <v>-0.3654009044616525</v>
      </c>
      <c r="AI70" s="12">
        <v>152417232</v>
      </c>
      <c r="AJ70" s="12">
        <v>203485190</v>
      </c>
      <c r="AK70" s="12">
        <v>110973919</v>
      </c>
      <c r="AL70" s="12"/>
    </row>
    <row r="71" spans="1:38" s="13" customFormat="1" ht="12.75">
      <c r="A71" s="29" t="s">
        <v>95</v>
      </c>
      <c r="B71" s="61" t="s">
        <v>362</v>
      </c>
      <c r="C71" s="39" t="s">
        <v>363</v>
      </c>
      <c r="D71" s="78">
        <v>99403483</v>
      </c>
      <c r="E71" s="79">
        <v>39330000</v>
      </c>
      <c r="F71" s="80">
        <f t="shared" si="16"/>
        <v>138733483</v>
      </c>
      <c r="G71" s="78">
        <v>93546144</v>
      </c>
      <c r="H71" s="79">
        <v>32364860</v>
      </c>
      <c r="I71" s="80">
        <f t="shared" si="17"/>
        <v>125911004</v>
      </c>
      <c r="J71" s="78">
        <v>24716935</v>
      </c>
      <c r="K71" s="92">
        <v>4202698</v>
      </c>
      <c r="L71" s="79">
        <f t="shared" si="18"/>
        <v>28919633</v>
      </c>
      <c r="M71" s="40">
        <f t="shared" si="19"/>
        <v>0.2084546021236993</v>
      </c>
      <c r="N71" s="106">
        <v>24033373</v>
      </c>
      <c r="O71" s="107">
        <v>7303035</v>
      </c>
      <c r="P71" s="108">
        <f t="shared" si="20"/>
        <v>31336408</v>
      </c>
      <c r="Q71" s="40">
        <f t="shared" si="21"/>
        <v>0.22587487405617865</v>
      </c>
      <c r="R71" s="106">
        <v>16658089</v>
      </c>
      <c r="S71" s="108">
        <v>5553738</v>
      </c>
      <c r="T71" s="108">
        <f t="shared" si="22"/>
        <v>22211827</v>
      </c>
      <c r="U71" s="40">
        <f t="shared" si="23"/>
        <v>0.1764089419857219</v>
      </c>
      <c r="V71" s="106">
        <v>0</v>
      </c>
      <c r="W71" s="108">
        <v>0</v>
      </c>
      <c r="X71" s="108">
        <f t="shared" si="24"/>
        <v>0</v>
      </c>
      <c r="Y71" s="40">
        <f t="shared" si="25"/>
        <v>0</v>
      </c>
      <c r="Z71" s="78">
        <f t="shared" si="26"/>
        <v>65408397</v>
      </c>
      <c r="AA71" s="79">
        <f t="shared" si="27"/>
        <v>17059471</v>
      </c>
      <c r="AB71" s="79">
        <f t="shared" si="28"/>
        <v>82467868</v>
      </c>
      <c r="AC71" s="40">
        <f t="shared" si="29"/>
        <v>0.6549695052864482</v>
      </c>
      <c r="AD71" s="78">
        <v>20717687</v>
      </c>
      <c r="AE71" s="79">
        <v>3468098</v>
      </c>
      <c r="AF71" s="79">
        <f t="shared" si="30"/>
        <v>24185785</v>
      </c>
      <c r="AG71" s="40">
        <f>IF(136932976=0,0,77048197/136932976)</f>
        <v>0.5626708719161994</v>
      </c>
      <c r="AH71" s="40">
        <f t="shared" si="31"/>
        <v>-0.08161645363175107</v>
      </c>
      <c r="AI71" s="12">
        <v>121587594</v>
      </c>
      <c r="AJ71" s="12">
        <v>136932976</v>
      </c>
      <c r="AK71" s="12">
        <v>77048197</v>
      </c>
      <c r="AL71" s="12"/>
    </row>
    <row r="72" spans="1:38" s="13" customFormat="1" ht="12.75">
      <c r="A72" s="29" t="s">
        <v>114</v>
      </c>
      <c r="B72" s="61" t="s">
        <v>364</v>
      </c>
      <c r="C72" s="39" t="s">
        <v>365</v>
      </c>
      <c r="D72" s="78">
        <v>590998030</v>
      </c>
      <c r="E72" s="79">
        <v>424486735</v>
      </c>
      <c r="F72" s="80">
        <f t="shared" si="16"/>
        <v>1015484765</v>
      </c>
      <c r="G72" s="78">
        <v>663399000</v>
      </c>
      <c r="H72" s="79">
        <v>452944320</v>
      </c>
      <c r="I72" s="80">
        <f t="shared" si="17"/>
        <v>1116343320</v>
      </c>
      <c r="J72" s="78">
        <v>145291015</v>
      </c>
      <c r="K72" s="92">
        <v>53346911</v>
      </c>
      <c r="L72" s="79">
        <f t="shared" si="18"/>
        <v>198637926</v>
      </c>
      <c r="M72" s="40">
        <f t="shared" si="19"/>
        <v>0.1956089671123722</v>
      </c>
      <c r="N72" s="106">
        <v>179327992</v>
      </c>
      <c r="O72" s="107">
        <v>106060717</v>
      </c>
      <c r="P72" s="108">
        <f t="shared" si="20"/>
        <v>285388709</v>
      </c>
      <c r="Q72" s="40">
        <f t="shared" si="21"/>
        <v>0.28103691836282746</v>
      </c>
      <c r="R72" s="106">
        <v>129137694</v>
      </c>
      <c r="S72" s="108">
        <v>125076353</v>
      </c>
      <c r="T72" s="108">
        <f t="shared" si="22"/>
        <v>254214047</v>
      </c>
      <c r="U72" s="40">
        <f t="shared" si="23"/>
        <v>0.22772031009241853</v>
      </c>
      <c r="V72" s="106">
        <v>0</v>
      </c>
      <c r="W72" s="108">
        <v>0</v>
      </c>
      <c r="X72" s="108">
        <f t="shared" si="24"/>
        <v>0</v>
      </c>
      <c r="Y72" s="40">
        <f t="shared" si="25"/>
        <v>0</v>
      </c>
      <c r="Z72" s="78">
        <f t="shared" si="26"/>
        <v>453756701</v>
      </c>
      <c r="AA72" s="79">
        <f t="shared" si="27"/>
        <v>284483981</v>
      </c>
      <c r="AB72" s="79">
        <f t="shared" si="28"/>
        <v>738240682</v>
      </c>
      <c r="AC72" s="40">
        <f t="shared" si="29"/>
        <v>0.6613025480369247</v>
      </c>
      <c r="AD72" s="78">
        <v>130666024</v>
      </c>
      <c r="AE72" s="79">
        <v>93296509</v>
      </c>
      <c r="AF72" s="79">
        <f t="shared" si="30"/>
        <v>223962533</v>
      </c>
      <c r="AG72" s="40">
        <f>IF(978567340=0,0,647826675/978567340)</f>
        <v>0.6620154265520449</v>
      </c>
      <c r="AH72" s="40">
        <f t="shared" si="31"/>
        <v>0.13507399472035808</v>
      </c>
      <c r="AI72" s="12">
        <v>856251717</v>
      </c>
      <c r="AJ72" s="12">
        <v>978567340</v>
      </c>
      <c r="AK72" s="12">
        <v>647826675</v>
      </c>
      <c r="AL72" s="12"/>
    </row>
    <row r="73" spans="1:38" s="57" customFormat="1" ht="12.75">
      <c r="A73" s="62"/>
      <c r="B73" s="63" t="s">
        <v>366</v>
      </c>
      <c r="C73" s="32"/>
      <c r="D73" s="82">
        <f>SUM(D68:D72)</f>
        <v>2272308750</v>
      </c>
      <c r="E73" s="83">
        <f>SUM(E68:E72)</f>
        <v>983199675</v>
      </c>
      <c r="F73" s="91">
        <f t="shared" si="16"/>
        <v>3255508425</v>
      </c>
      <c r="G73" s="82">
        <f>SUM(G68:G72)</f>
        <v>2342343059</v>
      </c>
      <c r="H73" s="83">
        <f>SUM(H68:H72)</f>
        <v>974065553</v>
      </c>
      <c r="I73" s="91">
        <f t="shared" si="17"/>
        <v>3316408612</v>
      </c>
      <c r="J73" s="82">
        <f>SUM(J68:J72)</f>
        <v>509792687</v>
      </c>
      <c r="K73" s="93">
        <f>SUM(K68:K72)</f>
        <v>93763486</v>
      </c>
      <c r="L73" s="83">
        <f t="shared" si="18"/>
        <v>603556173</v>
      </c>
      <c r="M73" s="44">
        <f t="shared" si="19"/>
        <v>0.18539536508802001</v>
      </c>
      <c r="N73" s="112">
        <f>SUM(N68:N72)</f>
        <v>583160204</v>
      </c>
      <c r="O73" s="113">
        <f>SUM(O68:O72)</f>
        <v>205810173</v>
      </c>
      <c r="P73" s="114">
        <f t="shared" si="20"/>
        <v>788970377</v>
      </c>
      <c r="Q73" s="44">
        <f t="shared" si="21"/>
        <v>0.24234935807300206</v>
      </c>
      <c r="R73" s="112">
        <f>SUM(R68:R72)</f>
        <v>487582709</v>
      </c>
      <c r="S73" s="114">
        <f>SUM(S68:S72)</f>
        <v>213084377</v>
      </c>
      <c r="T73" s="114">
        <f t="shared" si="22"/>
        <v>700667086</v>
      </c>
      <c r="U73" s="44">
        <f t="shared" si="23"/>
        <v>0.21127284601322222</v>
      </c>
      <c r="V73" s="112">
        <f>SUM(V68:V72)</f>
        <v>0</v>
      </c>
      <c r="W73" s="114">
        <f>SUM(W68:W72)</f>
        <v>0</v>
      </c>
      <c r="X73" s="114">
        <f t="shared" si="24"/>
        <v>0</v>
      </c>
      <c r="Y73" s="44">
        <f t="shared" si="25"/>
        <v>0</v>
      </c>
      <c r="Z73" s="82">
        <f t="shared" si="26"/>
        <v>1580535600</v>
      </c>
      <c r="AA73" s="83">
        <f t="shared" si="27"/>
        <v>512658036</v>
      </c>
      <c r="AB73" s="83">
        <f t="shared" si="28"/>
        <v>2093193636</v>
      </c>
      <c r="AC73" s="44">
        <f t="shared" si="29"/>
        <v>0.6311627669841547</v>
      </c>
      <c r="AD73" s="82">
        <f>SUM(AD68:AD72)</f>
        <v>460173256</v>
      </c>
      <c r="AE73" s="83">
        <f>SUM(AE68:AE72)</f>
        <v>169182794</v>
      </c>
      <c r="AF73" s="83">
        <f t="shared" si="30"/>
        <v>629356050</v>
      </c>
      <c r="AG73" s="44">
        <f>IF(978567340=0,0,647826675/978567340)</f>
        <v>0.6620154265520449</v>
      </c>
      <c r="AH73" s="44">
        <f t="shared" si="31"/>
        <v>0.11330793753392854</v>
      </c>
      <c r="AI73" s="64">
        <f>SUM(AI68:AI72)</f>
        <v>2949815408</v>
      </c>
      <c r="AJ73" s="64">
        <f>SUM(AJ68:AJ72)</f>
        <v>3153022664</v>
      </c>
      <c r="AK73" s="64">
        <f>SUM(AK68:AK72)</f>
        <v>1891588086</v>
      </c>
      <c r="AL73" s="64"/>
    </row>
    <row r="74" spans="1:38" s="13" customFormat="1" ht="12.75">
      <c r="A74" s="29" t="s">
        <v>95</v>
      </c>
      <c r="B74" s="61" t="s">
        <v>367</v>
      </c>
      <c r="C74" s="39" t="s">
        <v>368</v>
      </c>
      <c r="D74" s="78">
        <v>89168000</v>
      </c>
      <c r="E74" s="79">
        <v>91217725</v>
      </c>
      <c r="F74" s="80">
        <f aca="true" t="shared" si="32" ref="F74:F81">$D74+$E74</f>
        <v>180385725</v>
      </c>
      <c r="G74" s="78">
        <v>93196371</v>
      </c>
      <c r="H74" s="79">
        <v>91217725</v>
      </c>
      <c r="I74" s="80">
        <f aca="true" t="shared" si="33" ref="I74:I81">$G74+$H74</f>
        <v>184414096</v>
      </c>
      <c r="J74" s="78">
        <v>16800259</v>
      </c>
      <c r="K74" s="92">
        <v>2836227</v>
      </c>
      <c r="L74" s="79">
        <f aca="true" t="shared" si="34" ref="L74:L81">$J74+$K74</f>
        <v>19636486</v>
      </c>
      <c r="M74" s="40">
        <f aca="true" t="shared" si="35" ref="M74:M81">IF($F74=0,0,$L74/$F74)</f>
        <v>0.10885831459224393</v>
      </c>
      <c r="N74" s="106">
        <v>31149638</v>
      </c>
      <c r="O74" s="107">
        <v>18991005</v>
      </c>
      <c r="P74" s="108">
        <f aca="true" t="shared" si="36" ref="P74:P81">$N74+$O74</f>
        <v>50140643</v>
      </c>
      <c r="Q74" s="40">
        <f aca="true" t="shared" si="37" ref="Q74:Q81">IF($F74=0,0,$P74/$F74)</f>
        <v>0.2779634752140171</v>
      </c>
      <c r="R74" s="106">
        <v>22833495</v>
      </c>
      <c r="S74" s="108">
        <v>7891677</v>
      </c>
      <c r="T74" s="108">
        <f aca="true" t="shared" si="38" ref="T74:T81">$R74+$S74</f>
        <v>30725172</v>
      </c>
      <c r="U74" s="40">
        <f aca="true" t="shared" si="39" ref="U74:U81">IF($I74=0,0,$T74/$I74)</f>
        <v>0.16660967174656757</v>
      </c>
      <c r="V74" s="106">
        <v>0</v>
      </c>
      <c r="W74" s="108">
        <v>0</v>
      </c>
      <c r="X74" s="108">
        <f aca="true" t="shared" si="40" ref="X74:X81">$V74+$W74</f>
        <v>0</v>
      </c>
      <c r="Y74" s="40">
        <f aca="true" t="shared" si="41" ref="Y74:Y81">IF($I74=0,0,$X74/$I74)</f>
        <v>0</v>
      </c>
      <c r="Z74" s="78">
        <f aca="true" t="shared" si="42" ref="Z74:Z81">$J74+$N74+$R74</f>
        <v>70783392</v>
      </c>
      <c r="AA74" s="79">
        <f aca="true" t="shared" si="43" ref="AA74:AA81">$K74+$O74+$S74</f>
        <v>29718909</v>
      </c>
      <c r="AB74" s="79">
        <f aca="true" t="shared" si="44" ref="AB74:AB81">$Z74+$AA74</f>
        <v>100502301</v>
      </c>
      <c r="AC74" s="40">
        <f aca="true" t="shared" si="45" ref="AC74:AC81">IF($I74=0,0,$AB74/$I74)</f>
        <v>0.5449816645252541</v>
      </c>
      <c r="AD74" s="78">
        <v>16381930</v>
      </c>
      <c r="AE74" s="79">
        <v>3472133</v>
      </c>
      <c r="AF74" s="79">
        <f aca="true" t="shared" si="46" ref="AF74:AF81">$AD74+$AE74</f>
        <v>19854063</v>
      </c>
      <c r="AG74" s="40">
        <f>IF(148691679=0,0,70888302/148691679)</f>
        <v>0.476746933498545</v>
      </c>
      <c r="AH74" s="40">
        <f aca="true" t="shared" si="47" ref="AH74:AH81">IF($AF74=0,0,(($T74/$AF74)-1))</f>
        <v>0.5475508463935064</v>
      </c>
      <c r="AI74" s="12">
        <v>151865309</v>
      </c>
      <c r="AJ74" s="12">
        <v>148691679</v>
      </c>
      <c r="AK74" s="12">
        <v>70888302</v>
      </c>
      <c r="AL74" s="12"/>
    </row>
    <row r="75" spans="1:38" s="13" customFormat="1" ht="12.75">
      <c r="A75" s="29" t="s">
        <v>95</v>
      </c>
      <c r="B75" s="61" t="s">
        <v>369</v>
      </c>
      <c r="C75" s="39" t="s">
        <v>370</v>
      </c>
      <c r="D75" s="78">
        <v>44076810</v>
      </c>
      <c r="E75" s="79">
        <v>10319900</v>
      </c>
      <c r="F75" s="80">
        <f t="shared" si="32"/>
        <v>54396710</v>
      </c>
      <c r="G75" s="78">
        <v>48371257</v>
      </c>
      <c r="H75" s="79">
        <v>10319900</v>
      </c>
      <c r="I75" s="80">
        <f t="shared" si="33"/>
        <v>58691157</v>
      </c>
      <c r="J75" s="78">
        <v>9051131</v>
      </c>
      <c r="K75" s="92">
        <v>3341262</v>
      </c>
      <c r="L75" s="79">
        <f t="shared" si="34"/>
        <v>12392393</v>
      </c>
      <c r="M75" s="40">
        <f t="shared" si="35"/>
        <v>0.2278151197011731</v>
      </c>
      <c r="N75" s="106">
        <v>11643999</v>
      </c>
      <c r="O75" s="107">
        <v>2304398</v>
      </c>
      <c r="P75" s="108">
        <f t="shared" si="36"/>
        <v>13948397</v>
      </c>
      <c r="Q75" s="40">
        <f t="shared" si="37"/>
        <v>0.2564198643631205</v>
      </c>
      <c r="R75" s="106">
        <v>10119578</v>
      </c>
      <c r="S75" s="108">
        <v>4226057</v>
      </c>
      <c r="T75" s="108">
        <f t="shared" si="38"/>
        <v>14345635</v>
      </c>
      <c r="U75" s="40">
        <f t="shared" si="39"/>
        <v>0.244425834031522</v>
      </c>
      <c r="V75" s="106">
        <v>0</v>
      </c>
      <c r="W75" s="108">
        <v>0</v>
      </c>
      <c r="X75" s="108">
        <f t="shared" si="40"/>
        <v>0</v>
      </c>
      <c r="Y75" s="40">
        <f t="shared" si="41"/>
        <v>0</v>
      </c>
      <c r="Z75" s="78">
        <f t="shared" si="42"/>
        <v>30814708</v>
      </c>
      <c r="AA75" s="79">
        <f t="shared" si="43"/>
        <v>9871717</v>
      </c>
      <c r="AB75" s="79">
        <f t="shared" si="44"/>
        <v>40686425</v>
      </c>
      <c r="AC75" s="40">
        <f t="shared" si="45"/>
        <v>0.6932292202043316</v>
      </c>
      <c r="AD75" s="78">
        <v>8199643</v>
      </c>
      <c r="AE75" s="79">
        <v>2288379</v>
      </c>
      <c r="AF75" s="79">
        <f t="shared" si="46"/>
        <v>10488022</v>
      </c>
      <c r="AG75" s="40">
        <f>IF(55079524=0,0,37095606/55079524)</f>
        <v>0.673491768011648</v>
      </c>
      <c r="AH75" s="40">
        <f t="shared" si="47"/>
        <v>0.36781129940421553</v>
      </c>
      <c r="AI75" s="12">
        <v>50868390</v>
      </c>
      <c r="AJ75" s="12">
        <v>55079524</v>
      </c>
      <c r="AK75" s="12">
        <v>37095606</v>
      </c>
      <c r="AL75" s="12"/>
    </row>
    <row r="76" spans="1:38" s="13" customFormat="1" ht="12.75">
      <c r="A76" s="29" t="s">
        <v>95</v>
      </c>
      <c r="B76" s="61" t="s">
        <v>371</v>
      </c>
      <c r="C76" s="39" t="s">
        <v>372</v>
      </c>
      <c r="D76" s="78">
        <v>322704391</v>
      </c>
      <c r="E76" s="79">
        <v>37967000</v>
      </c>
      <c r="F76" s="80">
        <f t="shared" si="32"/>
        <v>360671391</v>
      </c>
      <c r="G76" s="78">
        <v>322704391</v>
      </c>
      <c r="H76" s="79">
        <v>47179900</v>
      </c>
      <c r="I76" s="80">
        <f t="shared" si="33"/>
        <v>369884291</v>
      </c>
      <c r="J76" s="78">
        <v>69971808</v>
      </c>
      <c r="K76" s="92">
        <v>7596105</v>
      </c>
      <c r="L76" s="79">
        <f t="shared" si="34"/>
        <v>77567913</v>
      </c>
      <c r="M76" s="40">
        <f t="shared" si="35"/>
        <v>0.21506533352960064</v>
      </c>
      <c r="N76" s="106">
        <v>85320724</v>
      </c>
      <c r="O76" s="107">
        <v>7754421</v>
      </c>
      <c r="P76" s="108">
        <f t="shared" si="36"/>
        <v>93075145</v>
      </c>
      <c r="Q76" s="40">
        <f t="shared" si="37"/>
        <v>0.25806079251791836</v>
      </c>
      <c r="R76" s="106">
        <v>64505167</v>
      </c>
      <c r="S76" s="108">
        <v>2918916</v>
      </c>
      <c r="T76" s="108">
        <f t="shared" si="38"/>
        <v>67424083</v>
      </c>
      <c r="U76" s="40">
        <f t="shared" si="39"/>
        <v>0.18228425656498076</v>
      </c>
      <c r="V76" s="106">
        <v>0</v>
      </c>
      <c r="W76" s="108">
        <v>0</v>
      </c>
      <c r="X76" s="108">
        <f t="shared" si="40"/>
        <v>0</v>
      </c>
      <c r="Y76" s="40">
        <f t="shared" si="41"/>
        <v>0</v>
      </c>
      <c r="Z76" s="78">
        <f t="shared" si="42"/>
        <v>219797699</v>
      </c>
      <c r="AA76" s="79">
        <f t="shared" si="43"/>
        <v>18269442</v>
      </c>
      <c r="AB76" s="79">
        <f t="shared" si="44"/>
        <v>238067141</v>
      </c>
      <c r="AC76" s="40">
        <f t="shared" si="45"/>
        <v>0.6436259846461011</v>
      </c>
      <c r="AD76" s="78">
        <v>55628754</v>
      </c>
      <c r="AE76" s="79">
        <v>9703401</v>
      </c>
      <c r="AF76" s="79">
        <f t="shared" si="46"/>
        <v>65332155</v>
      </c>
      <c r="AG76" s="40">
        <f>IF(332695160=0,0,224062897/332695160)</f>
        <v>0.6734780782503719</v>
      </c>
      <c r="AH76" s="40">
        <f t="shared" si="47"/>
        <v>0.032019883623921386</v>
      </c>
      <c r="AI76" s="12">
        <v>336328587</v>
      </c>
      <c r="AJ76" s="12">
        <v>332695160</v>
      </c>
      <c r="AK76" s="12">
        <v>224062897</v>
      </c>
      <c r="AL76" s="12"/>
    </row>
    <row r="77" spans="1:38" s="13" customFormat="1" ht="12.75">
      <c r="A77" s="29" t="s">
        <v>95</v>
      </c>
      <c r="B77" s="61" t="s">
        <v>373</v>
      </c>
      <c r="C77" s="39" t="s">
        <v>374</v>
      </c>
      <c r="D77" s="78">
        <v>124670949</v>
      </c>
      <c r="E77" s="79">
        <v>88188827</v>
      </c>
      <c r="F77" s="80">
        <f t="shared" si="32"/>
        <v>212859776</v>
      </c>
      <c r="G77" s="78">
        <v>125444102</v>
      </c>
      <c r="H77" s="79">
        <v>102525699</v>
      </c>
      <c r="I77" s="80">
        <f t="shared" si="33"/>
        <v>227969801</v>
      </c>
      <c r="J77" s="78">
        <v>24521415</v>
      </c>
      <c r="K77" s="92">
        <v>14625274</v>
      </c>
      <c r="L77" s="79">
        <f t="shared" si="34"/>
        <v>39146689</v>
      </c>
      <c r="M77" s="40">
        <f t="shared" si="35"/>
        <v>0.18390834443046675</v>
      </c>
      <c r="N77" s="106">
        <v>25912177</v>
      </c>
      <c r="O77" s="107">
        <v>19473540</v>
      </c>
      <c r="P77" s="108">
        <f t="shared" si="36"/>
        <v>45385717</v>
      </c>
      <c r="Q77" s="40">
        <f t="shared" si="37"/>
        <v>0.2132188516443802</v>
      </c>
      <c r="R77" s="106">
        <v>22047967</v>
      </c>
      <c r="S77" s="108">
        <v>11018837</v>
      </c>
      <c r="T77" s="108">
        <f t="shared" si="38"/>
        <v>33066804</v>
      </c>
      <c r="U77" s="40">
        <f t="shared" si="39"/>
        <v>0.14504905410695165</v>
      </c>
      <c r="V77" s="106">
        <v>0</v>
      </c>
      <c r="W77" s="108">
        <v>0</v>
      </c>
      <c r="X77" s="108">
        <f t="shared" si="40"/>
        <v>0</v>
      </c>
      <c r="Y77" s="40">
        <f t="shared" si="41"/>
        <v>0</v>
      </c>
      <c r="Z77" s="78">
        <f t="shared" si="42"/>
        <v>72481559</v>
      </c>
      <c r="AA77" s="79">
        <f t="shared" si="43"/>
        <v>45117651</v>
      </c>
      <c r="AB77" s="79">
        <f t="shared" si="44"/>
        <v>117599210</v>
      </c>
      <c r="AC77" s="40">
        <f t="shared" si="45"/>
        <v>0.515854334583553</v>
      </c>
      <c r="AD77" s="78">
        <v>10830799</v>
      </c>
      <c r="AE77" s="79">
        <v>12065810</v>
      </c>
      <c r="AF77" s="79">
        <f t="shared" si="46"/>
        <v>22896609</v>
      </c>
      <c r="AG77" s="40">
        <f>IF(178657403=0,0,65427592/178657403)</f>
        <v>0.36621819695879043</v>
      </c>
      <c r="AH77" s="40">
        <f t="shared" si="47"/>
        <v>0.44417909219657803</v>
      </c>
      <c r="AI77" s="12">
        <v>154672375</v>
      </c>
      <c r="AJ77" s="12">
        <v>178657403</v>
      </c>
      <c r="AK77" s="12">
        <v>65427592</v>
      </c>
      <c r="AL77" s="12"/>
    </row>
    <row r="78" spans="1:38" s="13" customFormat="1" ht="12.75">
      <c r="A78" s="29" t="s">
        <v>95</v>
      </c>
      <c r="B78" s="61" t="s">
        <v>375</v>
      </c>
      <c r="C78" s="39" t="s">
        <v>376</v>
      </c>
      <c r="D78" s="78">
        <v>205360443</v>
      </c>
      <c r="E78" s="79">
        <v>58148880</v>
      </c>
      <c r="F78" s="80">
        <f t="shared" si="32"/>
        <v>263509323</v>
      </c>
      <c r="G78" s="78">
        <v>209280542</v>
      </c>
      <c r="H78" s="79">
        <v>82968515</v>
      </c>
      <c r="I78" s="80">
        <f t="shared" si="33"/>
        <v>292249057</v>
      </c>
      <c r="J78" s="78">
        <v>60519465</v>
      </c>
      <c r="K78" s="92">
        <v>27844659</v>
      </c>
      <c r="L78" s="79">
        <f t="shared" si="34"/>
        <v>88364124</v>
      </c>
      <c r="M78" s="40">
        <f t="shared" si="35"/>
        <v>0.3353358545116827</v>
      </c>
      <c r="N78" s="106">
        <v>60192742</v>
      </c>
      <c r="O78" s="107">
        <v>16702740</v>
      </c>
      <c r="P78" s="108">
        <f t="shared" si="36"/>
        <v>76895482</v>
      </c>
      <c r="Q78" s="40">
        <f t="shared" si="37"/>
        <v>0.2918131363420489</v>
      </c>
      <c r="R78" s="106">
        <v>45815814</v>
      </c>
      <c r="S78" s="108">
        <v>15746182</v>
      </c>
      <c r="T78" s="108">
        <f t="shared" si="38"/>
        <v>61561996</v>
      </c>
      <c r="U78" s="40">
        <f t="shared" si="39"/>
        <v>0.21064908346308198</v>
      </c>
      <c r="V78" s="106">
        <v>0</v>
      </c>
      <c r="W78" s="108">
        <v>0</v>
      </c>
      <c r="X78" s="108">
        <f t="shared" si="40"/>
        <v>0</v>
      </c>
      <c r="Y78" s="40">
        <f t="shared" si="41"/>
        <v>0</v>
      </c>
      <c r="Z78" s="78">
        <f t="shared" si="42"/>
        <v>166528021</v>
      </c>
      <c r="AA78" s="79">
        <f t="shared" si="43"/>
        <v>60293581</v>
      </c>
      <c r="AB78" s="79">
        <f t="shared" si="44"/>
        <v>226821602</v>
      </c>
      <c r="AC78" s="40">
        <f t="shared" si="45"/>
        <v>0.7761243246714736</v>
      </c>
      <c r="AD78" s="78">
        <v>35726627</v>
      </c>
      <c r="AE78" s="79">
        <v>27700536</v>
      </c>
      <c r="AF78" s="79">
        <f t="shared" si="46"/>
        <v>63427163</v>
      </c>
      <c r="AG78" s="40">
        <f>IF(259481423=0,0,163659054/259481423)</f>
        <v>0.6307158798030794</v>
      </c>
      <c r="AH78" s="40">
        <f t="shared" si="47"/>
        <v>-0.029406439004689533</v>
      </c>
      <c r="AI78" s="12">
        <v>229692580</v>
      </c>
      <c r="AJ78" s="12">
        <v>259481423</v>
      </c>
      <c r="AK78" s="12">
        <v>163659054</v>
      </c>
      <c r="AL78" s="12"/>
    </row>
    <row r="79" spans="1:38" s="13" customFormat="1" ht="12.75">
      <c r="A79" s="29" t="s">
        <v>114</v>
      </c>
      <c r="B79" s="61" t="s">
        <v>377</v>
      </c>
      <c r="C79" s="39" t="s">
        <v>378</v>
      </c>
      <c r="D79" s="78">
        <v>397580866</v>
      </c>
      <c r="E79" s="79">
        <v>306649875</v>
      </c>
      <c r="F79" s="80">
        <f t="shared" si="32"/>
        <v>704230741</v>
      </c>
      <c r="G79" s="78">
        <v>387049750</v>
      </c>
      <c r="H79" s="79">
        <v>250238037</v>
      </c>
      <c r="I79" s="80">
        <f t="shared" si="33"/>
        <v>637287787</v>
      </c>
      <c r="J79" s="78">
        <v>78143280</v>
      </c>
      <c r="K79" s="92">
        <v>30155169</v>
      </c>
      <c r="L79" s="79">
        <f t="shared" si="34"/>
        <v>108298449</v>
      </c>
      <c r="M79" s="40">
        <f t="shared" si="35"/>
        <v>0.15378262080155344</v>
      </c>
      <c r="N79" s="106">
        <v>126434743</v>
      </c>
      <c r="O79" s="107">
        <v>80778110</v>
      </c>
      <c r="P79" s="108">
        <f t="shared" si="36"/>
        <v>207212853</v>
      </c>
      <c r="Q79" s="40">
        <f t="shared" si="37"/>
        <v>0.29423999967078973</v>
      </c>
      <c r="R79" s="106">
        <v>106407527</v>
      </c>
      <c r="S79" s="108">
        <v>44597902</v>
      </c>
      <c r="T79" s="108">
        <f t="shared" si="38"/>
        <v>151005429</v>
      </c>
      <c r="U79" s="40">
        <f t="shared" si="39"/>
        <v>0.23695013788174166</v>
      </c>
      <c r="V79" s="106">
        <v>0</v>
      </c>
      <c r="W79" s="108">
        <v>0</v>
      </c>
      <c r="X79" s="108">
        <f t="shared" si="40"/>
        <v>0</v>
      </c>
      <c r="Y79" s="40">
        <f t="shared" si="41"/>
        <v>0</v>
      </c>
      <c r="Z79" s="78">
        <f t="shared" si="42"/>
        <v>310985550</v>
      </c>
      <c r="AA79" s="79">
        <f t="shared" si="43"/>
        <v>155531181</v>
      </c>
      <c r="AB79" s="79">
        <f t="shared" si="44"/>
        <v>466516731</v>
      </c>
      <c r="AC79" s="40">
        <f t="shared" si="45"/>
        <v>0.7320346325733056</v>
      </c>
      <c r="AD79" s="78">
        <v>75694509</v>
      </c>
      <c r="AE79" s="79">
        <v>78789456</v>
      </c>
      <c r="AF79" s="79">
        <f t="shared" si="46"/>
        <v>154483965</v>
      </c>
      <c r="AG79" s="40">
        <f>IF(640623489=0,0,388158537/640623489)</f>
        <v>0.6059074380895828</v>
      </c>
      <c r="AH79" s="40">
        <f t="shared" si="47"/>
        <v>-0.022517133088861385</v>
      </c>
      <c r="AI79" s="12">
        <v>600418319</v>
      </c>
      <c r="AJ79" s="12">
        <v>640623489</v>
      </c>
      <c r="AK79" s="12">
        <v>388158537</v>
      </c>
      <c r="AL79" s="12"/>
    </row>
    <row r="80" spans="1:38" s="57" customFormat="1" ht="12.75">
      <c r="A80" s="62"/>
      <c r="B80" s="63" t="s">
        <v>379</v>
      </c>
      <c r="C80" s="32"/>
      <c r="D80" s="82">
        <f>SUM(D74:D79)</f>
        <v>1183561459</v>
      </c>
      <c r="E80" s="83">
        <f>SUM(E74:E79)</f>
        <v>592492207</v>
      </c>
      <c r="F80" s="84">
        <f t="shared" si="32"/>
        <v>1776053666</v>
      </c>
      <c r="G80" s="82">
        <f>SUM(G74:G79)</f>
        <v>1186046413</v>
      </c>
      <c r="H80" s="83">
        <f>SUM(H74:H79)</f>
        <v>584449776</v>
      </c>
      <c r="I80" s="91">
        <f t="shared" si="33"/>
        <v>1770496189</v>
      </c>
      <c r="J80" s="82">
        <f>SUM(J74:J79)</f>
        <v>259007358</v>
      </c>
      <c r="K80" s="93">
        <f>SUM(K74:K79)</f>
        <v>86398696</v>
      </c>
      <c r="L80" s="83">
        <f t="shared" si="34"/>
        <v>345406054</v>
      </c>
      <c r="M80" s="44">
        <f t="shared" si="35"/>
        <v>0.19447951411170927</v>
      </c>
      <c r="N80" s="112">
        <f>SUM(N74:N79)</f>
        <v>340654023</v>
      </c>
      <c r="O80" s="113">
        <f>SUM(O74:O79)</f>
        <v>146004214</v>
      </c>
      <c r="P80" s="114">
        <f t="shared" si="36"/>
        <v>486658237</v>
      </c>
      <c r="Q80" s="44">
        <f t="shared" si="37"/>
        <v>0.2740109977059668</v>
      </c>
      <c r="R80" s="112">
        <f>SUM(R74:R79)</f>
        <v>271729548</v>
      </c>
      <c r="S80" s="114">
        <f>SUM(S74:S79)</f>
        <v>86399571</v>
      </c>
      <c r="T80" s="114">
        <f t="shared" si="38"/>
        <v>358129119</v>
      </c>
      <c r="U80" s="44">
        <f t="shared" si="39"/>
        <v>0.20227613096545333</v>
      </c>
      <c r="V80" s="112">
        <f>SUM(V74:V79)</f>
        <v>0</v>
      </c>
      <c r="W80" s="114">
        <f>SUM(W74:W79)</f>
        <v>0</v>
      </c>
      <c r="X80" s="114">
        <f t="shared" si="40"/>
        <v>0</v>
      </c>
      <c r="Y80" s="44">
        <f t="shared" si="41"/>
        <v>0</v>
      </c>
      <c r="Z80" s="82">
        <f t="shared" si="42"/>
        <v>871390929</v>
      </c>
      <c r="AA80" s="83">
        <f t="shared" si="43"/>
        <v>318802481</v>
      </c>
      <c r="AB80" s="83">
        <f t="shared" si="44"/>
        <v>1190193410</v>
      </c>
      <c r="AC80" s="44">
        <f t="shared" si="45"/>
        <v>0.6722372052504881</v>
      </c>
      <c r="AD80" s="82">
        <f>SUM(AD74:AD79)</f>
        <v>202462262</v>
      </c>
      <c r="AE80" s="83">
        <f>SUM(AE74:AE79)</f>
        <v>134019715</v>
      </c>
      <c r="AF80" s="83">
        <f t="shared" si="46"/>
        <v>336481977</v>
      </c>
      <c r="AG80" s="44">
        <f>IF(640623489=0,0,388158537/640623489)</f>
        <v>0.6059074380895828</v>
      </c>
      <c r="AH80" s="44">
        <f t="shared" si="47"/>
        <v>0.06433373398777897</v>
      </c>
      <c r="AI80" s="64">
        <f>SUM(AI74:AI79)</f>
        <v>1523845560</v>
      </c>
      <c r="AJ80" s="64">
        <f>SUM(AJ74:AJ79)</f>
        <v>1615228678</v>
      </c>
      <c r="AK80" s="64">
        <f>SUM(AK74:AK79)</f>
        <v>949291988</v>
      </c>
      <c r="AL80" s="64"/>
    </row>
    <row r="81" spans="1:38" s="57" customFormat="1" ht="12.75">
      <c r="A81" s="62"/>
      <c r="B81" s="63" t="s">
        <v>380</v>
      </c>
      <c r="C81" s="32"/>
      <c r="D81" s="82">
        <f>SUM(D9,D11:D17,D19:D26,D28:D33,D35:D39,D41:D44,D46:D51,D53:D58,D60:D66,D68:D72,D74:D79)</f>
        <v>52546674832</v>
      </c>
      <c r="E81" s="83">
        <f>SUM(E9,E11:E17,E19:E26,E28:E33,E35:E39,E41:E44,E46:E51,E53:E58,E60:E66,E68:E72,E74:E79)</f>
        <v>13943250451</v>
      </c>
      <c r="F81" s="84">
        <f t="shared" si="32"/>
        <v>66489925283</v>
      </c>
      <c r="G81" s="82">
        <f>SUM(G9,G11:G17,G19:G26,G28:G33,G35:G39,G41:G44,G46:G51,G53:G58,G60:G66,G68:G72,G74:G79)</f>
        <v>53261036347</v>
      </c>
      <c r="H81" s="83">
        <f>SUM(H9,H11:H17,H19:H26,H28:H33,H35:H39,H41:H44,H46:H51,H53:H58,H60:H66,H68:H72,H74:H79)</f>
        <v>14135070321</v>
      </c>
      <c r="I81" s="91">
        <f t="shared" si="33"/>
        <v>67396106668</v>
      </c>
      <c r="J81" s="82">
        <f>SUM(J9,J11:J17,J19:J26,J28:J33,J35:J39,J41:J44,J46:J51,J53:J58,J60:J66,J68:J72,J74:J79)</f>
        <v>11538036143</v>
      </c>
      <c r="K81" s="93">
        <f>SUM(K9,K11:K17,K19:K26,K28:K33,K35:K39,K41:K44,K46:K51,K53:K58,K60:K66,K68:K72,K74:K79)</f>
        <v>2037436935</v>
      </c>
      <c r="L81" s="83">
        <f t="shared" si="34"/>
        <v>13575473078</v>
      </c>
      <c r="M81" s="44">
        <f t="shared" si="35"/>
        <v>0.20417338446717953</v>
      </c>
      <c r="N81" s="112">
        <f>SUM(N9,N11:N17,N19:N26,N28:N33,N35:N39,N41:N44,N46:N51,N53:N58,N60:N66,N68:N72,N74:N79)</f>
        <v>12537946022</v>
      </c>
      <c r="O81" s="113">
        <f>SUM(O9,O11:O17,O19:O26,O28:O33,O35:O39,O41:O44,O46:O51,O53:O58,O60:O66,O68:O72,O74:O79)</f>
        <v>2931071611</v>
      </c>
      <c r="P81" s="114">
        <f t="shared" si="36"/>
        <v>15469017633</v>
      </c>
      <c r="Q81" s="44">
        <f t="shared" si="37"/>
        <v>0.23265205318188387</v>
      </c>
      <c r="R81" s="112">
        <f>SUM(R9,R11:R17,R19:R26,R28:R33,R35:R39,R41:R44,R46:R51,R53:R58,R60:R66,R68:R72,R74:R79)</f>
        <v>11717502126</v>
      </c>
      <c r="S81" s="114">
        <f>SUM(S9,S11:S17,S19:S26,S28:S33,S35:S39,S41:S44,S46:S51,S53:S58,S60:S66,S68:S72,S74:S79)</f>
        <v>2450774180</v>
      </c>
      <c r="T81" s="114">
        <f t="shared" si="38"/>
        <v>14168276306</v>
      </c>
      <c r="U81" s="44">
        <f t="shared" si="39"/>
        <v>0.2102239581255688</v>
      </c>
      <c r="V81" s="112">
        <f>SUM(V9,V11:V17,V19:V26,V28:V33,V35:V39,V41:V44,V46:V51,V53:V58,V60:V66,V68:V72,V74:V79)</f>
        <v>0</v>
      </c>
      <c r="W81" s="114">
        <f>SUM(W9,W11:W17,W19:W26,W28:W33,W35:W39,W41:W44,W46:W51,W53:W58,W60:W66,W68:W72,W74:W79)</f>
        <v>0</v>
      </c>
      <c r="X81" s="114">
        <f t="shared" si="40"/>
        <v>0</v>
      </c>
      <c r="Y81" s="44">
        <f t="shared" si="41"/>
        <v>0</v>
      </c>
      <c r="Z81" s="82">
        <f t="shared" si="42"/>
        <v>35793484291</v>
      </c>
      <c r="AA81" s="83">
        <f t="shared" si="43"/>
        <v>7419282726</v>
      </c>
      <c r="AB81" s="83">
        <f t="shared" si="44"/>
        <v>43212767017</v>
      </c>
      <c r="AC81" s="44">
        <f t="shared" si="45"/>
        <v>0.6411760137699116</v>
      </c>
      <c r="AD81" s="82">
        <f>SUM(AD9,AD11:AD17,AD19:AD26,AD28:AD33,AD35:AD39,AD41:AD44,AD46:AD51,AD53:AD58,AD60:AD66,AD68:AD72,AD74:AD79)</f>
        <v>10527957741</v>
      </c>
      <c r="AE81" s="83">
        <f>SUM(AE9,AE11:AE17,AE19:AE26,AE28:AE33,AE35:AE39,AE41:AE44,AE46:AE51,AE53:AE58,AE60:AE66,AE68:AE72,AE74:AE79)</f>
        <v>2463781581</v>
      </c>
      <c r="AF81" s="83">
        <f t="shared" si="46"/>
        <v>12991739322</v>
      </c>
      <c r="AG81" s="44">
        <f>IF(640623489=0,0,388158537/640623489)</f>
        <v>0.6059074380895828</v>
      </c>
      <c r="AH81" s="44">
        <f t="shared" si="47"/>
        <v>0.09056039032492524</v>
      </c>
      <c r="AI81" s="64">
        <f>SUM(AI9,AI11:AI17,AI19:AI26,AI28:AI33,AI35:AI39,AI41:AI44,AI46:AI51,AI53:AI58,AI60:AI66,AI68:AI72,AI74:AI79)</f>
        <v>59789358373</v>
      </c>
      <c r="AJ81" s="64">
        <f>SUM(AJ9,AJ11:AJ17,AJ19:AJ26,AJ28:AJ33,AJ35:AJ39,AJ41:AJ44,AJ46:AJ51,AJ53:AJ58,AJ60:AJ66,AJ68:AJ72,AJ74:AJ79)</f>
        <v>61058276099</v>
      </c>
      <c r="AK81" s="64">
        <f>SUM(AK9,AK11:AK17,AK19:AK26,AK28:AK33,AK35:AK39,AK41:AK44,AK46:AK51,AK53:AK58,AK60:AK66,AK68:AK72,AK74:AK79)</f>
        <v>40629509163</v>
      </c>
      <c r="AL81" s="64"/>
    </row>
    <row r="82" spans="1:38" s="13" customFormat="1" ht="12.75">
      <c r="A82" s="65"/>
      <c r="B82" s="66"/>
      <c r="C82" s="67"/>
      <c r="D82" s="68"/>
      <c r="E82" s="68"/>
      <c r="F82" s="69"/>
      <c r="G82" s="70"/>
      <c r="H82" s="68"/>
      <c r="I82" s="71"/>
      <c r="J82" s="70"/>
      <c r="K82" s="72"/>
      <c r="L82" s="68"/>
      <c r="M82" s="71"/>
      <c r="N82" s="70"/>
      <c r="O82" s="72"/>
      <c r="P82" s="68"/>
      <c r="Q82" s="71"/>
      <c r="R82" s="70"/>
      <c r="S82" s="72"/>
      <c r="T82" s="68"/>
      <c r="U82" s="71"/>
      <c r="V82" s="70"/>
      <c r="W82" s="72"/>
      <c r="X82" s="68"/>
      <c r="Y82" s="71"/>
      <c r="Z82" s="70"/>
      <c r="AA82" s="72"/>
      <c r="AB82" s="68"/>
      <c r="AC82" s="71"/>
      <c r="AD82" s="70"/>
      <c r="AE82" s="68"/>
      <c r="AF82" s="68"/>
      <c r="AG82" s="71"/>
      <c r="AH82" s="71"/>
      <c r="AI82" s="12"/>
      <c r="AJ82" s="12"/>
      <c r="AK82" s="12"/>
      <c r="AL82" s="12"/>
    </row>
    <row r="83" spans="1:38" s="13" customFormat="1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3" customFormat="1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28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1" t="s">
        <v>381</v>
      </c>
      <c r="C9" s="39" t="s">
        <v>382</v>
      </c>
      <c r="D9" s="78">
        <v>272924269</v>
      </c>
      <c r="E9" s="79">
        <v>135857736</v>
      </c>
      <c r="F9" s="80">
        <f>$D9+$E9</f>
        <v>408782005</v>
      </c>
      <c r="G9" s="78">
        <v>279690525</v>
      </c>
      <c r="H9" s="79">
        <v>139235979</v>
      </c>
      <c r="I9" s="81">
        <f>$G9+$H9</f>
        <v>418926504</v>
      </c>
      <c r="J9" s="78">
        <v>45711100</v>
      </c>
      <c r="K9" s="79">
        <v>27820783</v>
      </c>
      <c r="L9" s="79">
        <f>$J9+$K9</f>
        <v>73531883</v>
      </c>
      <c r="M9" s="40">
        <f>IF($F9=0,0,$L9/$F9)</f>
        <v>0.17988043040201832</v>
      </c>
      <c r="N9" s="106">
        <v>50038427</v>
      </c>
      <c r="O9" s="107">
        <v>46071223</v>
      </c>
      <c r="P9" s="108">
        <f>$N9+$O9</f>
        <v>96109650</v>
      </c>
      <c r="Q9" s="40">
        <f>IF($F9=0,0,$P9/$F9)</f>
        <v>0.23511223298589184</v>
      </c>
      <c r="R9" s="106">
        <v>49737851</v>
      </c>
      <c r="S9" s="108">
        <v>34123055</v>
      </c>
      <c r="T9" s="108">
        <f>$R9+$S9</f>
        <v>83860906</v>
      </c>
      <c r="U9" s="40">
        <f>IF($I9=0,0,$T9/$I9)</f>
        <v>0.20018047366131794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145487378</v>
      </c>
      <c r="AA9" s="79">
        <f>$K9+$O9+$S9</f>
        <v>108015061</v>
      </c>
      <c r="AB9" s="79">
        <f>$Z9+$AA9</f>
        <v>253502439</v>
      </c>
      <c r="AC9" s="40">
        <f>IF($I9=0,0,$AB9/$I9)</f>
        <v>0.6051238978186017</v>
      </c>
      <c r="AD9" s="78">
        <v>40790711</v>
      </c>
      <c r="AE9" s="79">
        <v>34259313</v>
      </c>
      <c r="AF9" s="79">
        <f>$AD9+$AE9</f>
        <v>75050024</v>
      </c>
      <c r="AG9" s="40">
        <f>IF(356736993=0,0,192869477/356736993)</f>
        <v>0.5406489396517394</v>
      </c>
      <c r="AH9" s="40">
        <f>IF($AF9=0,0,(($T9/$AF9)-1))</f>
        <v>0.11740012235039399</v>
      </c>
      <c r="AI9" s="12">
        <v>336356929</v>
      </c>
      <c r="AJ9" s="12">
        <v>356736993</v>
      </c>
      <c r="AK9" s="12">
        <v>192869477</v>
      </c>
      <c r="AL9" s="12"/>
    </row>
    <row r="10" spans="1:38" s="13" customFormat="1" ht="12.75">
      <c r="A10" s="29" t="s">
        <v>95</v>
      </c>
      <c r="B10" s="61" t="s">
        <v>383</v>
      </c>
      <c r="C10" s="39" t="s">
        <v>384</v>
      </c>
      <c r="D10" s="78">
        <v>182015469</v>
      </c>
      <c r="E10" s="79">
        <v>169050607</v>
      </c>
      <c r="F10" s="81">
        <f aca="true" t="shared" si="0" ref="F10:F44">$D10+$E10</f>
        <v>351066076</v>
      </c>
      <c r="G10" s="78">
        <v>182515467</v>
      </c>
      <c r="H10" s="79">
        <v>227668176</v>
      </c>
      <c r="I10" s="81">
        <f aca="true" t="shared" si="1" ref="I10:I44">$G10+$H10</f>
        <v>410183643</v>
      </c>
      <c r="J10" s="78">
        <v>34722313</v>
      </c>
      <c r="K10" s="79">
        <v>36651978</v>
      </c>
      <c r="L10" s="79">
        <f aca="true" t="shared" si="2" ref="L10:L44">$J10+$K10</f>
        <v>71374291</v>
      </c>
      <c r="M10" s="40">
        <f aca="true" t="shared" si="3" ref="M10:M44">IF($F10=0,0,$L10/$F10)</f>
        <v>0.20330728566322653</v>
      </c>
      <c r="N10" s="106">
        <v>42324459</v>
      </c>
      <c r="O10" s="107">
        <v>39159022</v>
      </c>
      <c r="P10" s="108">
        <f aca="true" t="shared" si="4" ref="P10:P44">$N10+$O10</f>
        <v>81483481</v>
      </c>
      <c r="Q10" s="40">
        <f aca="true" t="shared" si="5" ref="Q10:Q44">IF($F10=0,0,$P10/$F10)</f>
        <v>0.23210297596512858</v>
      </c>
      <c r="R10" s="106">
        <v>47666924</v>
      </c>
      <c r="S10" s="108">
        <v>38533256</v>
      </c>
      <c r="T10" s="108">
        <f aca="true" t="shared" si="6" ref="T10:T44">$R10+$S10</f>
        <v>86200180</v>
      </c>
      <c r="U10" s="40">
        <f aca="true" t="shared" si="7" ref="U10:U44">IF($I10=0,0,$T10/$I10)</f>
        <v>0.21015021313270651</v>
      </c>
      <c r="V10" s="106">
        <v>0</v>
      </c>
      <c r="W10" s="108">
        <v>0</v>
      </c>
      <c r="X10" s="108">
        <f aca="true" t="shared" si="8" ref="X10:X44">$V10+$W10</f>
        <v>0</v>
      </c>
      <c r="Y10" s="40">
        <f aca="true" t="shared" si="9" ref="Y10:Y44">IF($I10=0,0,$X10/$I10)</f>
        <v>0</v>
      </c>
      <c r="Z10" s="78">
        <f aca="true" t="shared" si="10" ref="Z10:Z44">$J10+$N10+$R10</f>
        <v>124713696</v>
      </c>
      <c r="AA10" s="79">
        <f aca="true" t="shared" si="11" ref="AA10:AA44">$K10+$O10+$S10</f>
        <v>114344256</v>
      </c>
      <c r="AB10" s="79">
        <f aca="true" t="shared" si="12" ref="AB10:AB44">$Z10+$AA10</f>
        <v>239057952</v>
      </c>
      <c r="AC10" s="40">
        <f aca="true" t="shared" si="13" ref="AC10:AC44">IF($I10=0,0,$AB10/$I10)</f>
        <v>0.5828071306100326</v>
      </c>
      <c r="AD10" s="78">
        <v>34039143</v>
      </c>
      <c r="AE10" s="79">
        <v>14196486</v>
      </c>
      <c r="AF10" s="79">
        <f aca="true" t="shared" si="14" ref="AF10:AF44">$AD10+$AE10</f>
        <v>48235629</v>
      </c>
      <c r="AG10" s="40">
        <f>IF(413184338=0,0,159444133/413184338)</f>
        <v>0.38589103781566864</v>
      </c>
      <c r="AH10" s="40">
        <f aca="true" t="shared" si="15" ref="AH10:AH44">IF($AF10=0,0,(($T10/$AF10)-1))</f>
        <v>0.7870644954168629</v>
      </c>
      <c r="AI10" s="12">
        <v>330126220</v>
      </c>
      <c r="AJ10" s="12">
        <v>413184338</v>
      </c>
      <c r="AK10" s="12">
        <v>159444133</v>
      </c>
      <c r="AL10" s="12"/>
    </row>
    <row r="11" spans="1:38" s="13" customFormat="1" ht="12.75">
      <c r="A11" s="29" t="s">
        <v>95</v>
      </c>
      <c r="B11" s="61" t="s">
        <v>385</v>
      </c>
      <c r="C11" s="39" t="s">
        <v>386</v>
      </c>
      <c r="D11" s="78">
        <v>965232591</v>
      </c>
      <c r="E11" s="79">
        <v>144684479</v>
      </c>
      <c r="F11" s="80">
        <f t="shared" si="0"/>
        <v>1109917070</v>
      </c>
      <c r="G11" s="78">
        <v>966285239</v>
      </c>
      <c r="H11" s="79">
        <v>200256351</v>
      </c>
      <c r="I11" s="81">
        <f t="shared" si="1"/>
        <v>1166541590</v>
      </c>
      <c r="J11" s="78">
        <v>184700637</v>
      </c>
      <c r="K11" s="79">
        <v>18081276</v>
      </c>
      <c r="L11" s="79">
        <f t="shared" si="2"/>
        <v>202781913</v>
      </c>
      <c r="M11" s="40">
        <f t="shared" si="3"/>
        <v>0.1827000579421668</v>
      </c>
      <c r="N11" s="106">
        <v>150164265</v>
      </c>
      <c r="O11" s="107">
        <v>46168081</v>
      </c>
      <c r="P11" s="108">
        <f t="shared" si="4"/>
        <v>196332346</v>
      </c>
      <c r="Q11" s="40">
        <f t="shared" si="5"/>
        <v>0.176889203082533</v>
      </c>
      <c r="R11" s="106">
        <v>163196901</v>
      </c>
      <c r="S11" s="108">
        <v>26478575</v>
      </c>
      <c r="T11" s="108">
        <f t="shared" si="6"/>
        <v>189675476</v>
      </c>
      <c r="U11" s="40">
        <f t="shared" si="7"/>
        <v>0.16259641115753104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498061803</v>
      </c>
      <c r="AA11" s="79">
        <f t="shared" si="11"/>
        <v>90727932</v>
      </c>
      <c r="AB11" s="79">
        <f t="shared" si="12"/>
        <v>588789735</v>
      </c>
      <c r="AC11" s="40">
        <f t="shared" si="13"/>
        <v>0.5047310272066682</v>
      </c>
      <c r="AD11" s="78">
        <v>162820964</v>
      </c>
      <c r="AE11" s="79">
        <v>28322432</v>
      </c>
      <c r="AF11" s="79">
        <f t="shared" si="14"/>
        <v>191143396</v>
      </c>
      <c r="AG11" s="40">
        <f>IF(1095686197=0,0,598537727/1095686197)</f>
        <v>0.5462674702289784</v>
      </c>
      <c r="AH11" s="40">
        <f t="shared" si="15"/>
        <v>-0.007679679396299988</v>
      </c>
      <c r="AI11" s="12">
        <v>1021943319</v>
      </c>
      <c r="AJ11" s="12">
        <v>1095686197</v>
      </c>
      <c r="AK11" s="12">
        <v>598537727</v>
      </c>
      <c r="AL11" s="12"/>
    </row>
    <row r="12" spans="1:38" s="13" customFormat="1" ht="12.75">
      <c r="A12" s="29" t="s">
        <v>95</v>
      </c>
      <c r="B12" s="61" t="s">
        <v>387</v>
      </c>
      <c r="C12" s="39" t="s">
        <v>388</v>
      </c>
      <c r="D12" s="78">
        <v>469991864</v>
      </c>
      <c r="E12" s="79">
        <v>53792000</v>
      </c>
      <c r="F12" s="80">
        <f t="shared" si="0"/>
        <v>523783864</v>
      </c>
      <c r="G12" s="78">
        <v>458161885</v>
      </c>
      <c r="H12" s="79">
        <v>50792000</v>
      </c>
      <c r="I12" s="81">
        <f t="shared" si="1"/>
        <v>508953885</v>
      </c>
      <c r="J12" s="78">
        <v>69668940</v>
      </c>
      <c r="K12" s="79">
        <v>12677354</v>
      </c>
      <c r="L12" s="79">
        <f t="shared" si="2"/>
        <v>82346294</v>
      </c>
      <c r="M12" s="40">
        <f t="shared" si="3"/>
        <v>0.15721426271352262</v>
      </c>
      <c r="N12" s="106">
        <v>77838849</v>
      </c>
      <c r="O12" s="107">
        <v>18617588</v>
      </c>
      <c r="P12" s="108">
        <f t="shared" si="4"/>
        <v>96456437</v>
      </c>
      <c r="Q12" s="40">
        <f t="shared" si="5"/>
        <v>0.18415312809254467</v>
      </c>
      <c r="R12" s="106">
        <v>125659498</v>
      </c>
      <c r="S12" s="108">
        <v>4436116</v>
      </c>
      <c r="T12" s="108">
        <f t="shared" si="6"/>
        <v>130095614</v>
      </c>
      <c r="U12" s="40">
        <f t="shared" si="7"/>
        <v>0.2556137556548959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273167287</v>
      </c>
      <c r="AA12" s="79">
        <f t="shared" si="11"/>
        <v>35731058</v>
      </c>
      <c r="AB12" s="79">
        <f t="shared" si="12"/>
        <v>308898345</v>
      </c>
      <c r="AC12" s="40">
        <f t="shared" si="13"/>
        <v>0.6069279636209084</v>
      </c>
      <c r="AD12" s="78">
        <v>61356633</v>
      </c>
      <c r="AE12" s="79">
        <v>4362430</v>
      </c>
      <c r="AF12" s="79">
        <f t="shared" si="14"/>
        <v>65719063</v>
      </c>
      <c r="AG12" s="40">
        <f>IF(501456178=0,0,237883872/501456178)</f>
        <v>0.47438616261299704</v>
      </c>
      <c r="AH12" s="40">
        <f t="shared" si="15"/>
        <v>0.9795719546397064</v>
      </c>
      <c r="AI12" s="12">
        <v>499997281</v>
      </c>
      <c r="AJ12" s="12">
        <v>501456178</v>
      </c>
      <c r="AK12" s="12">
        <v>237883872</v>
      </c>
      <c r="AL12" s="12"/>
    </row>
    <row r="13" spans="1:38" s="13" customFormat="1" ht="12.75">
      <c r="A13" s="29" t="s">
        <v>95</v>
      </c>
      <c r="B13" s="61" t="s">
        <v>389</v>
      </c>
      <c r="C13" s="39" t="s">
        <v>390</v>
      </c>
      <c r="D13" s="78">
        <v>137671335</v>
      </c>
      <c r="E13" s="79">
        <v>64861694</v>
      </c>
      <c r="F13" s="80">
        <f t="shared" si="0"/>
        <v>202533029</v>
      </c>
      <c r="G13" s="78">
        <v>141149510</v>
      </c>
      <c r="H13" s="79">
        <v>82525996</v>
      </c>
      <c r="I13" s="81">
        <f t="shared" si="1"/>
        <v>223675506</v>
      </c>
      <c r="J13" s="78">
        <v>22504243</v>
      </c>
      <c r="K13" s="79">
        <v>12406868</v>
      </c>
      <c r="L13" s="79">
        <f t="shared" si="2"/>
        <v>34911111</v>
      </c>
      <c r="M13" s="40">
        <f t="shared" si="3"/>
        <v>0.17237243314027562</v>
      </c>
      <c r="N13" s="106">
        <v>25350436</v>
      </c>
      <c r="O13" s="107">
        <v>15964722</v>
      </c>
      <c r="P13" s="108">
        <f t="shared" si="4"/>
        <v>41315158</v>
      </c>
      <c r="Q13" s="40">
        <f t="shared" si="5"/>
        <v>0.20399219921803471</v>
      </c>
      <c r="R13" s="106">
        <v>22493701</v>
      </c>
      <c r="S13" s="108">
        <v>2784397</v>
      </c>
      <c r="T13" s="108">
        <f t="shared" si="6"/>
        <v>25278098</v>
      </c>
      <c r="U13" s="40">
        <f t="shared" si="7"/>
        <v>0.11301236533248303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70348380</v>
      </c>
      <c r="AA13" s="79">
        <f t="shared" si="11"/>
        <v>31155987</v>
      </c>
      <c r="AB13" s="79">
        <f t="shared" si="12"/>
        <v>101504367</v>
      </c>
      <c r="AC13" s="40">
        <f t="shared" si="13"/>
        <v>0.45380188834802504</v>
      </c>
      <c r="AD13" s="78">
        <v>18996805</v>
      </c>
      <c r="AE13" s="79">
        <v>19141193</v>
      </c>
      <c r="AF13" s="79">
        <f t="shared" si="14"/>
        <v>38137998</v>
      </c>
      <c r="AG13" s="40">
        <f>IF(186665876=0,0,83460356/186665876)</f>
        <v>0.44711094383421207</v>
      </c>
      <c r="AH13" s="40">
        <f t="shared" si="15"/>
        <v>-0.3371938925582827</v>
      </c>
      <c r="AI13" s="12">
        <v>182295615</v>
      </c>
      <c r="AJ13" s="12">
        <v>186665876</v>
      </c>
      <c r="AK13" s="12">
        <v>83460356</v>
      </c>
      <c r="AL13" s="12"/>
    </row>
    <row r="14" spans="1:38" s="13" customFormat="1" ht="12.75">
      <c r="A14" s="29" t="s">
        <v>114</v>
      </c>
      <c r="B14" s="61" t="s">
        <v>391</v>
      </c>
      <c r="C14" s="39" t="s">
        <v>392</v>
      </c>
      <c r="D14" s="78">
        <v>1010278430</v>
      </c>
      <c r="E14" s="79">
        <v>528255719</v>
      </c>
      <c r="F14" s="80">
        <f t="shared" si="0"/>
        <v>1538534149</v>
      </c>
      <c r="G14" s="78">
        <v>1066916346</v>
      </c>
      <c r="H14" s="79">
        <v>528255719</v>
      </c>
      <c r="I14" s="81">
        <f t="shared" si="1"/>
        <v>1595172065</v>
      </c>
      <c r="J14" s="78">
        <v>206303952</v>
      </c>
      <c r="K14" s="79">
        <v>20232584</v>
      </c>
      <c r="L14" s="79">
        <f t="shared" si="2"/>
        <v>226536536</v>
      </c>
      <c r="M14" s="40">
        <f t="shared" si="3"/>
        <v>0.14724179905089646</v>
      </c>
      <c r="N14" s="106">
        <v>185103369</v>
      </c>
      <c r="O14" s="107">
        <v>39318606</v>
      </c>
      <c r="P14" s="108">
        <f t="shared" si="4"/>
        <v>224421975</v>
      </c>
      <c r="Q14" s="40">
        <f t="shared" si="5"/>
        <v>0.14586739926823686</v>
      </c>
      <c r="R14" s="106">
        <v>279949029</v>
      </c>
      <c r="S14" s="108">
        <v>41979761</v>
      </c>
      <c r="T14" s="108">
        <f t="shared" si="6"/>
        <v>321928790</v>
      </c>
      <c r="U14" s="40">
        <f t="shared" si="7"/>
        <v>0.20181446068640876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671356350</v>
      </c>
      <c r="AA14" s="79">
        <f t="shared" si="11"/>
        <v>101530951</v>
      </c>
      <c r="AB14" s="79">
        <f t="shared" si="12"/>
        <v>772887301</v>
      </c>
      <c r="AC14" s="40">
        <f t="shared" si="13"/>
        <v>0.4845165721981221</v>
      </c>
      <c r="AD14" s="78">
        <v>136775500</v>
      </c>
      <c r="AE14" s="79">
        <v>23384238</v>
      </c>
      <c r="AF14" s="79">
        <f t="shared" si="14"/>
        <v>160159738</v>
      </c>
      <c r="AG14" s="40">
        <f>IF(1022844365=0,0,383561947/1022844365)</f>
        <v>0.3749954148693971</v>
      </c>
      <c r="AH14" s="40">
        <f t="shared" si="15"/>
        <v>1.010048180773123</v>
      </c>
      <c r="AI14" s="12">
        <v>1569241745</v>
      </c>
      <c r="AJ14" s="12">
        <v>1022844365</v>
      </c>
      <c r="AK14" s="12">
        <v>383561947</v>
      </c>
      <c r="AL14" s="12"/>
    </row>
    <row r="15" spans="1:38" s="57" customFormat="1" ht="12.75">
      <c r="A15" s="62"/>
      <c r="B15" s="63" t="s">
        <v>393</v>
      </c>
      <c r="C15" s="32"/>
      <c r="D15" s="82">
        <f>SUM(D9:D14)</f>
        <v>3038113958</v>
      </c>
      <c r="E15" s="83">
        <f>SUM(E9:E14)</f>
        <v>1096502235</v>
      </c>
      <c r="F15" s="91">
        <f t="shared" si="0"/>
        <v>4134616193</v>
      </c>
      <c r="G15" s="82">
        <f>SUM(G9:G14)</f>
        <v>3094718972</v>
      </c>
      <c r="H15" s="83">
        <f>SUM(H9:H14)</f>
        <v>1228734221</v>
      </c>
      <c r="I15" s="84">
        <f t="shared" si="1"/>
        <v>4323453193</v>
      </c>
      <c r="J15" s="82">
        <f>SUM(J9:J14)</f>
        <v>563611185</v>
      </c>
      <c r="K15" s="83">
        <f>SUM(K9:K14)</f>
        <v>127870843</v>
      </c>
      <c r="L15" s="83">
        <f t="shared" si="2"/>
        <v>691482028</v>
      </c>
      <c r="M15" s="44">
        <f t="shared" si="3"/>
        <v>0.16724213221306852</v>
      </c>
      <c r="N15" s="112">
        <f>SUM(N9:N14)</f>
        <v>530819805</v>
      </c>
      <c r="O15" s="113">
        <f>SUM(O9:O14)</f>
        <v>205299242</v>
      </c>
      <c r="P15" s="114">
        <f t="shared" si="4"/>
        <v>736119047</v>
      </c>
      <c r="Q15" s="44">
        <f t="shared" si="5"/>
        <v>0.17803806027903302</v>
      </c>
      <c r="R15" s="112">
        <f>SUM(R9:R14)</f>
        <v>688703904</v>
      </c>
      <c r="S15" s="114">
        <f>SUM(S9:S14)</f>
        <v>148335160</v>
      </c>
      <c r="T15" s="114">
        <f t="shared" si="6"/>
        <v>837039064</v>
      </c>
      <c r="U15" s="44">
        <f t="shared" si="7"/>
        <v>0.19360428496259194</v>
      </c>
      <c r="V15" s="112">
        <f>SUM(V9:V14)</f>
        <v>0</v>
      </c>
      <c r="W15" s="114">
        <f>SUM(W9:W14)</f>
        <v>0</v>
      </c>
      <c r="X15" s="114">
        <f t="shared" si="8"/>
        <v>0</v>
      </c>
      <c r="Y15" s="44">
        <f t="shared" si="9"/>
        <v>0</v>
      </c>
      <c r="Z15" s="82">
        <f t="shared" si="10"/>
        <v>1783134894</v>
      </c>
      <c r="AA15" s="83">
        <f t="shared" si="11"/>
        <v>481505245</v>
      </c>
      <c r="AB15" s="83">
        <f t="shared" si="12"/>
        <v>2264640139</v>
      </c>
      <c r="AC15" s="44">
        <f t="shared" si="13"/>
        <v>0.5238035519076799</v>
      </c>
      <c r="AD15" s="82">
        <f>SUM(AD9:AD14)</f>
        <v>454779756</v>
      </c>
      <c r="AE15" s="83">
        <f>SUM(AE9:AE14)</f>
        <v>123666092</v>
      </c>
      <c r="AF15" s="83">
        <f t="shared" si="14"/>
        <v>578445848</v>
      </c>
      <c r="AG15" s="44">
        <f>IF(1022844365=0,0,383561947/1022844365)</f>
        <v>0.3749954148693971</v>
      </c>
      <c r="AH15" s="44">
        <f t="shared" si="15"/>
        <v>0.44704827062740016</v>
      </c>
      <c r="AI15" s="64">
        <f>SUM(AI9:AI14)</f>
        <v>3939961109</v>
      </c>
      <c r="AJ15" s="64">
        <f>SUM(AJ9:AJ14)</f>
        <v>3576573947</v>
      </c>
      <c r="AK15" s="64">
        <f>SUM(AK9:AK14)</f>
        <v>1655757512</v>
      </c>
      <c r="AL15" s="64"/>
    </row>
    <row r="16" spans="1:38" s="13" customFormat="1" ht="12.75">
      <c r="A16" s="29" t="s">
        <v>95</v>
      </c>
      <c r="B16" s="61" t="s">
        <v>394</v>
      </c>
      <c r="C16" s="39" t="s">
        <v>395</v>
      </c>
      <c r="D16" s="78">
        <v>226035000</v>
      </c>
      <c r="E16" s="79">
        <v>29293000</v>
      </c>
      <c r="F16" s="80">
        <f t="shared" si="0"/>
        <v>255328000</v>
      </c>
      <c r="G16" s="78">
        <v>226035000</v>
      </c>
      <c r="H16" s="79">
        <v>29293000</v>
      </c>
      <c r="I16" s="81">
        <f t="shared" si="1"/>
        <v>255328000</v>
      </c>
      <c r="J16" s="78">
        <v>41795482</v>
      </c>
      <c r="K16" s="79">
        <v>3280118</v>
      </c>
      <c r="L16" s="79">
        <f t="shared" si="2"/>
        <v>45075600</v>
      </c>
      <c r="M16" s="40">
        <f t="shared" si="3"/>
        <v>0.1765399799473618</v>
      </c>
      <c r="N16" s="106">
        <v>49481305</v>
      </c>
      <c r="O16" s="107">
        <v>5196600</v>
      </c>
      <c r="P16" s="108">
        <f t="shared" si="4"/>
        <v>54677905</v>
      </c>
      <c r="Q16" s="40">
        <f t="shared" si="5"/>
        <v>0.21414770412959017</v>
      </c>
      <c r="R16" s="106">
        <v>36032390</v>
      </c>
      <c r="S16" s="108">
        <v>2814939</v>
      </c>
      <c r="T16" s="108">
        <f t="shared" si="6"/>
        <v>38847329</v>
      </c>
      <c r="U16" s="40">
        <f t="shared" si="7"/>
        <v>0.1521467641621757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127309177</v>
      </c>
      <c r="AA16" s="79">
        <f t="shared" si="11"/>
        <v>11291657</v>
      </c>
      <c r="AB16" s="79">
        <f t="shared" si="12"/>
        <v>138600834</v>
      </c>
      <c r="AC16" s="40">
        <f t="shared" si="13"/>
        <v>0.5428344482391277</v>
      </c>
      <c r="AD16" s="78">
        <v>48804361</v>
      </c>
      <c r="AE16" s="79">
        <v>3267483</v>
      </c>
      <c r="AF16" s="79">
        <f t="shared" si="14"/>
        <v>52071844</v>
      </c>
      <c r="AG16" s="40">
        <f>IF(253625872=0,0,206798158/253625872)</f>
        <v>0.8153669669788262</v>
      </c>
      <c r="AH16" s="40">
        <f t="shared" si="15"/>
        <v>-0.2539667118375911</v>
      </c>
      <c r="AI16" s="12">
        <v>226621000</v>
      </c>
      <c r="AJ16" s="12">
        <v>253625872</v>
      </c>
      <c r="AK16" s="12">
        <v>206798158</v>
      </c>
      <c r="AL16" s="12"/>
    </row>
    <row r="17" spans="1:38" s="13" customFormat="1" ht="12.75">
      <c r="A17" s="29" t="s">
        <v>95</v>
      </c>
      <c r="B17" s="61" t="s">
        <v>396</v>
      </c>
      <c r="C17" s="39" t="s">
        <v>397</v>
      </c>
      <c r="D17" s="78">
        <v>90837057</v>
      </c>
      <c r="E17" s="79">
        <v>32076797</v>
      </c>
      <c r="F17" s="80">
        <f t="shared" si="0"/>
        <v>122913854</v>
      </c>
      <c r="G17" s="78">
        <v>88376526</v>
      </c>
      <c r="H17" s="79">
        <v>45334971</v>
      </c>
      <c r="I17" s="81">
        <f t="shared" si="1"/>
        <v>133711497</v>
      </c>
      <c r="J17" s="78">
        <v>11443628</v>
      </c>
      <c r="K17" s="79">
        <v>6725467</v>
      </c>
      <c r="L17" s="79">
        <f t="shared" si="2"/>
        <v>18169095</v>
      </c>
      <c r="M17" s="40">
        <f t="shared" si="3"/>
        <v>0.1478197486184104</v>
      </c>
      <c r="N17" s="106">
        <v>12914342</v>
      </c>
      <c r="O17" s="107">
        <v>7193907</v>
      </c>
      <c r="P17" s="108">
        <f t="shared" si="4"/>
        <v>20108249</v>
      </c>
      <c r="Q17" s="40">
        <f t="shared" si="5"/>
        <v>0.1635962777637743</v>
      </c>
      <c r="R17" s="106">
        <v>7949968</v>
      </c>
      <c r="S17" s="108">
        <v>1755871</v>
      </c>
      <c r="T17" s="108">
        <f t="shared" si="6"/>
        <v>9705839</v>
      </c>
      <c r="U17" s="40">
        <f t="shared" si="7"/>
        <v>0.07258791665461647</v>
      </c>
      <c r="V17" s="106">
        <v>0</v>
      </c>
      <c r="W17" s="108">
        <v>0</v>
      </c>
      <c r="X17" s="108">
        <f t="shared" si="8"/>
        <v>0</v>
      </c>
      <c r="Y17" s="40">
        <f t="shared" si="9"/>
        <v>0</v>
      </c>
      <c r="Z17" s="78">
        <f t="shared" si="10"/>
        <v>32307938</v>
      </c>
      <c r="AA17" s="79">
        <f t="shared" si="11"/>
        <v>15675245</v>
      </c>
      <c r="AB17" s="79">
        <f t="shared" si="12"/>
        <v>47983183</v>
      </c>
      <c r="AC17" s="40">
        <f t="shared" si="13"/>
        <v>0.3588560750314537</v>
      </c>
      <c r="AD17" s="78">
        <v>17972471</v>
      </c>
      <c r="AE17" s="79">
        <v>4066097</v>
      </c>
      <c r="AF17" s="79">
        <f t="shared" si="14"/>
        <v>22038568</v>
      </c>
      <c r="AG17" s="40">
        <f>IF(105205960=0,0,80672603/105205960)</f>
        <v>0.7668063957593277</v>
      </c>
      <c r="AH17" s="40">
        <f t="shared" si="15"/>
        <v>-0.559597565504256</v>
      </c>
      <c r="AI17" s="12">
        <v>104950697</v>
      </c>
      <c r="AJ17" s="12">
        <v>105205960</v>
      </c>
      <c r="AK17" s="12">
        <v>80672603</v>
      </c>
      <c r="AL17" s="12"/>
    </row>
    <row r="18" spans="1:38" s="13" customFormat="1" ht="12.75">
      <c r="A18" s="29" t="s">
        <v>95</v>
      </c>
      <c r="B18" s="61" t="s">
        <v>398</v>
      </c>
      <c r="C18" s="39" t="s">
        <v>399</v>
      </c>
      <c r="D18" s="78">
        <v>638190824</v>
      </c>
      <c r="E18" s="79">
        <v>312420000</v>
      </c>
      <c r="F18" s="80">
        <f t="shared" si="0"/>
        <v>950610824</v>
      </c>
      <c r="G18" s="78">
        <v>642150411</v>
      </c>
      <c r="H18" s="79">
        <v>312330424</v>
      </c>
      <c r="I18" s="81">
        <f t="shared" si="1"/>
        <v>954480835</v>
      </c>
      <c r="J18" s="78">
        <v>122361936</v>
      </c>
      <c r="K18" s="79">
        <v>43621986</v>
      </c>
      <c r="L18" s="79">
        <f t="shared" si="2"/>
        <v>165983922</v>
      </c>
      <c r="M18" s="40">
        <f t="shared" si="3"/>
        <v>0.17460764995455175</v>
      </c>
      <c r="N18" s="106">
        <v>152194348</v>
      </c>
      <c r="O18" s="107">
        <v>73580876</v>
      </c>
      <c r="P18" s="108">
        <f t="shared" si="4"/>
        <v>225775224</v>
      </c>
      <c r="Q18" s="40">
        <f t="shared" si="5"/>
        <v>0.23750542104073497</v>
      </c>
      <c r="R18" s="106">
        <v>137593062</v>
      </c>
      <c r="S18" s="108">
        <v>46653683</v>
      </c>
      <c r="T18" s="108">
        <f t="shared" si="6"/>
        <v>184246745</v>
      </c>
      <c r="U18" s="40">
        <f t="shared" si="7"/>
        <v>0.19303346724609718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412149346</v>
      </c>
      <c r="AA18" s="79">
        <f t="shared" si="11"/>
        <v>163856545</v>
      </c>
      <c r="AB18" s="79">
        <f t="shared" si="12"/>
        <v>576005891</v>
      </c>
      <c r="AC18" s="40">
        <f t="shared" si="13"/>
        <v>0.603475596238661</v>
      </c>
      <c r="AD18" s="78">
        <v>101538677</v>
      </c>
      <c r="AE18" s="79">
        <v>65500005</v>
      </c>
      <c r="AF18" s="79">
        <f t="shared" si="14"/>
        <v>167038682</v>
      </c>
      <c r="AG18" s="40">
        <f>IF(899829945=0,0,451855451/899829945)</f>
        <v>0.5021564946918943</v>
      </c>
      <c r="AH18" s="40">
        <f t="shared" si="15"/>
        <v>0.10301843138345634</v>
      </c>
      <c r="AI18" s="12">
        <v>883640422</v>
      </c>
      <c r="AJ18" s="12">
        <v>899829945</v>
      </c>
      <c r="AK18" s="12">
        <v>451855451</v>
      </c>
      <c r="AL18" s="12"/>
    </row>
    <row r="19" spans="1:38" s="13" customFormat="1" ht="12.75">
      <c r="A19" s="29" t="s">
        <v>95</v>
      </c>
      <c r="B19" s="61" t="s">
        <v>400</v>
      </c>
      <c r="C19" s="39" t="s">
        <v>401</v>
      </c>
      <c r="D19" s="78">
        <v>835129253</v>
      </c>
      <c r="E19" s="79">
        <v>163938000</v>
      </c>
      <c r="F19" s="80">
        <f t="shared" si="0"/>
        <v>999067253</v>
      </c>
      <c r="G19" s="78">
        <v>835129253</v>
      </c>
      <c r="H19" s="79">
        <v>168290000</v>
      </c>
      <c r="I19" s="81">
        <f t="shared" si="1"/>
        <v>1003419253</v>
      </c>
      <c r="J19" s="78">
        <v>125430255</v>
      </c>
      <c r="K19" s="79">
        <v>25988489</v>
      </c>
      <c r="L19" s="79">
        <f t="shared" si="2"/>
        <v>151418744</v>
      </c>
      <c r="M19" s="40">
        <f t="shared" si="3"/>
        <v>0.15156011123907792</v>
      </c>
      <c r="N19" s="106">
        <v>156055644</v>
      </c>
      <c r="O19" s="107">
        <v>69184213</v>
      </c>
      <c r="P19" s="108">
        <f t="shared" si="4"/>
        <v>225239857</v>
      </c>
      <c r="Q19" s="40">
        <f t="shared" si="5"/>
        <v>0.22545014494634827</v>
      </c>
      <c r="R19" s="106">
        <v>103572183</v>
      </c>
      <c r="S19" s="108">
        <v>9670634</v>
      </c>
      <c r="T19" s="108">
        <f t="shared" si="6"/>
        <v>113242817</v>
      </c>
      <c r="U19" s="40">
        <f t="shared" si="7"/>
        <v>0.11285693060147013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385058082</v>
      </c>
      <c r="AA19" s="79">
        <f t="shared" si="11"/>
        <v>104843336</v>
      </c>
      <c r="AB19" s="79">
        <f t="shared" si="12"/>
        <v>489901418</v>
      </c>
      <c r="AC19" s="40">
        <f t="shared" si="13"/>
        <v>0.4882320291695659</v>
      </c>
      <c r="AD19" s="78">
        <v>133976179</v>
      </c>
      <c r="AE19" s="79">
        <v>22393373</v>
      </c>
      <c r="AF19" s="79">
        <f t="shared" si="14"/>
        <v>156369552</v>
      </c>
      <c r="AG19" s="40">
        <f>IF(956521000=0,0,541765988/956521000)</f>
        <v>0.5663921523939359</v>
      </c>
      <c r="AH19" s="40">
        <f t="shared" si="15"/>
        <v>-0.2758000803123104</v>
      </c>
      <c r="AI19" s="12">
        <v>897210000</v>
      </c>
      <c r="AJ19" s="12">
        <v>956521000</v>
      </c>
      <c r="AK19" s="12">
        <v>541765988</v>
      </c>
      <c r="AL19" s="12"/>
    </row>
    <row r="20" spans="1:38" s="13" customFormat="1" ht="12.75">
      <c r="A20" s="29" t="s">
        <v>114</v>
      </c>
      <c r="B20" s="61" t="s">
        <v>402</v>
      </c>
      <c r="C20" s="39" t="s">
        <v>403</v>
      </c>
      <c r="D20" s="78">
        <v>832924924</v>
      </c>
      <c r="E20" s="79">
        <v>839573993</v>
      </c>
      <c r="F20" s="80">
        <f t="shared" si="0"/>
        <v>1672498917</v>
      </c>
      <c r="G20" s="78">
        <v>681637910</v>
      </c>
      <c r="H20" s="79">
        <v>839573993</v>
      </c>
      <c r="I20" s="81">
        <f t="shared" si="1"/>
        <v>1521211903</v>
      </c>
      <c r="J20" s="78">
        <v>139083861</v>
      </c>
      <c r="K20" s="79">
        <v>29315114</v>
      </c>
      <c r="L20" s="79">
        <f t="shared" si="2"/>
        <v>168398975</v>
      </c>
      <c r="M20" s="40">
        <f t="shared" si="3"/>
        <v>0.10068704576626043</v>
      </c>
      <c r="N20" s="106">
        <v>133386070</v>
      </c>
      <c r="O20" s="107">
        <v>43192307</v>
      </c>
      <c r="P20" s="108">
        <f t="shared" si="4"/>
        <v>176578377</v>
      </c>
      <c r="Q20" s="40">
        <f t="shared" si="5"/>
        <v>0.10557757329776495</v>
      </c>
      <c r="R20" s="106">
        <v>140846064</v>
      </c>
      <c r="S20" s="108">
        <v>69669184</v>
      </c>
      <c r="T20" s="108">
        <f t="shared" si="6"/>
        <v>210515248</v>
      </c>
      <c r="U20" s="40">
        <f t="shared" si="7"/>
        <v>0.13838653746058677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413315995</v>
      </c>
      <c r="AA20" s="79">
        <f t="shared" si="11"/>
        <v>142176605</v>
      </c>
      <c r="AB20" s="79">
        <f t="shared" si="12"/>
        <v>555492600</v>
      </c>
      <c r="AC20" s="40">
        <f t="shared" si="13"/>
        <v>0.3651645105487976</v>
      </c>
      <c r="AD20" s="78">
        <v>212360450</v>
      </c>
      <c r="AE20" s="79">
        <v>108881967</v>
      </c>
      <c r="AF20" s="79">
        <f t="shared" si="14"/>
        <v>321242417</v>
      </c>
      <c r="AG20" s="40">
        <f>IF(1508805519=0,0,865253610/1508805519)</f>
        <v>0.5734692769240858</v>
      </c>
      <c r="AH20" s="40">
        <f t="shared" si="15"/>
        <v>-0.34468414860668917</v>
      </c>
      <c r="AI20" s="12">
        <v>1500543573</v>
      </c>
      <c r="AJ20" s="12">
        <v>1508805519</v>
      </c>
      <c r="AK20" s="12">
        <v>865253610</v>
      </c>
      <c r="AL20" s="12"/>
    </row>
    <row r="21" spans="1:38" s="57" customFormat="1" ht="12.75">
      <c r="A21" s="62"/>
      <c r="B21" s="63" t="s">
        <v>404</v>
      </c>
      <c r="C21" s="32"/>
      <c r="D21" s="82">
        <f>SUM(D16:D20)</f>
        <v>2623117058</v>
      </c>
      <c r="E21" s="83">
        <f>SUM(E16:E20)</f>
        <v>1377301790</v>
      </c>
      <c r="F21" s="84">
        <f t="shared" si="0"/>
        <v>4000418848</v>
      </c>
      <c r="G21" s="82">
        <f>SUM(G16:G20)</f>
        <v>2473329100</v>
      </c>
      <c r="H21" s="83">
        <f>SUM(H16:H20)</f>
        <v>1394822388</v>
      </c>
      <c r="I21" s="84">
        <f t="shared" si="1"/>
        <v>3868151488</v>
      </c>
      <c r="J21" s="82">
        <f>SUM(J16:J20)</f>
        <v>440115162</v>
      </c>
      <c r="K21" s="83">
        <f>SUM(K16:K20)</f>
        <v>108931174</v>
      </c>
      <c r="L21" s="83">
        <f t="shared" si="2"/>
        <v>549046336</v>
      </c>
      <c r="M21" s="44">
        <f t="shared" si="3"/>
        <v>0.13724721256987737</v>
      </c>
      <c r="N21" s="112">
        <f>SUM(N16:N20)</f>
        <v>504031709</v>
      </c>
      <c r="O21" s="113">
        <f>SUM(O16:O20)</f>
        <v>198347903</v>
      </c>
      <c r="P21" s="114">
        <f t="shared" si="4"/>
        <v>702379612</v>
      </c>
      <c r="Q21" s="44">
        <f t="shared" si="5"/>
        <v>0.17557651803164387</v>
      </c>
      <c r="R21" s="112">
        <f>SUM(R16:R20)</f>
        <v>425993667</v>
      </c>
      <c r="S21" s="114">
        <f>SUM(S16:S20)</f>
        <v>130564311</v>
      </c>
      <c r="T21" s="114">
        <f t="shared" si="6"/>
        <v>556557978</v>
      </c>
      <c r="U21" s="44">
        <f t="shared" si="7"/>
        <v>0.14388215656149608</v>
      </c>
      <c r="V21" s="112">
        <f>SUM(V16:V20)</f>
        <v>0</v>
      </c>
      <c r="W21" s="114">
        <f>SUM(W16:W20)</f>
        <v>0</v>
      </c>
      <c r="X21" s="114">
        <f t="shared" si="8"/>
        <v>0</v>
      </c>
      <c r="Y21" s="44">
        <f t="shared" si="9"/>
        <v>0</v>
      </c>
      <c r="Z21" s="82">
        <f t="shared" si="10"/>
        <v>1370140538</v>
      </c>
      <c r="AA21" s="83">
        <f t="shared" si="11"/>
        <v>437843388</v>
      </c>
      <c r="AB21" s="83">
        <f t="shared" si="12"/>
        <v>1807983926</v>
      </c>
      <c r="AC21" s="44">
        <f t="shared" si="13"/>
        <v>0.46740256466398244</v>
      </c>
      <c r="AD21" s="82">
        <f>SUM(AD16:AD20)</f>
        <v>514652138</v>
      </c>
      <c r="AE21" s="83">
        <f>SUM(AE16:AE20)</f>
        <v>204108925</v>
      </c>
      <c r="AF21" s="83">
        <f t="shared" si="14"/>
        <v>718761063</v>
      </c>
      <c r="AG21" s="44">
        <f>IF(1508805519=0,0,865253610/1508805519)</f>
        <v>0.5734692769240858</v>
      </c>
      <c r="AH21" s="44">
        <f t="shared" si="15"/>
        <v>-0.22567038387275573</v>
      </c>
      <c r="AI21" s="64">
        <f>SUM(AI16:AI20)</f>
        <v>3612965692</v>
      </c>
      <c r="AJ21" s="64">
        <f>SUM(AJ16:AJ20)</f>
        <v>3723988296</v>
      </c>
      <c r="AK21" s="64">
        <f>SUM(AK16:AK20)</f>
        <v>2146345810</v>
      </c>
      <c r="AL21" s="64"/>
    </row>
    <row r="22" spans="1:38" s="13" customFormat="1" ht="12.75">
      <c r="A22" s="29" t="s">
        <v>95</v>
      </c>
      <c r="B22" s="61" t="s">
        <v>405</v>
      </c>
      <c r="C22" s="39" t="s">
        <v>406</v>
      </c>
      <c r="D22" s="78">
        <v>190695203</v>
      </c>
      <c r="E22" s="79">
        <v>56711558</v>
      </c>
      <c r="F22" s="80">
        <f t="shared" si="0"/>
        <v>247406761</v>
      </c>
      <c r="G22" s="78">
        <v>232383432</v>
      </c>
      <c r="H22" s="79">
        <v>56711558</v>
      </c>
      <c r="I22" s="81">
        <f t="shared" si="1"/>
        <v>289094990</v>
      </c>
      <c r="J22" s="78">
        <v>35685561</v>
      </c>
      <c r="K22" s="79">
        <v>8504472</v>
      </c>
      <c r="L22" s="79">
        <f t="shared" si="2"/>
        <v>44190033</v>
      </c>
      <c r="M22" s="40">
        <f t="shared" si="3"/>
        <v>0.17861287549858026</v>
      </c>
      <c r="N22" s="106">
        <v>45643165</v>
      </c>
      <c r="O22" s="107">
        <v>28102498</v>
      </c>
      <c r="P22" s="108">
        <f t="shared" si="4"/>
        <v>73745663</v>
      </c>
      <c r="Q22" s="40">
        <f t="shared" si="5"/>
        <v>0.29807456636158786</v>
      </c>
      <c r="R22" s="106">
        <v>41596181</v>
      </c>
      <c r="S22" s="108">
        <v>8849347</v>
      </c>
      <c r="T22" s="108">
        <f t="shared" si="6"/>
        <v>50445528</v>
      </c>
      <c r="U22" s="40">
        <f t="shared" si="7"/>
        <v>0.17449464620607918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122924907</v>
      </c>
      <c r="AA22" s="79">
        <f t="shared" si="11"/>
        <v>45456317</v>
      </c>
      <c r="AB22" s="79">
        <f t="shared" si="12"/>
        <v>168381224</v>
      </c>
      <c r="AC22" s="40">
        <f t="shared" si="13"/>
        <v>0.5824425528785538</v>
      </c>
      <c r="AD22" s="78">
        <v>35740828</v>
      </c>
      <c r="AE22" s="79">
        <v>8364163</v>
      </c>
      <c r="AF22" s="79">
        <f t="shared" si="14"/>
        <v>44104991</v>
      </c>
      <c r="AG22" s="40">
        <f>IF(223152085=0,0,128144120/223152085)</f>
        <v>0.5742456764408005</v>
      </c>
      <c r="AH22" s="40">
        <f t="shared" si="15"/>
        <v>0.14376007921643152</v>
      </c>
      <c r="AI22" s="12">
        <v>206365911</v>
      </c>
      <c r="AJ22" s="12">
        <v>223152085</v>
      </c>
      <c r="AK22" s="12">
        <v>128144120</v>
      </c>
      <c r="AL22" s="12"/>
    </row>
    <row r="23" spans="1:38" s="13" customFormat="1" ht="12.75">
      <c r="A23" s="29" t="s">
        <v>95</v>
      </c>
      <c r="B23" s="61" t="s">
        <v>407</v>
      </c>
      <c r="C23" s="39" t="s">
        <v>408</v>
      </c>
      <c r="D23" s="78">
        <v>118931178</v>
      </c>
      <c r="E23" s="79">
        <v>66912981</v>
      </c>
      <c r="F23" s="80">
        <f t="shared" si="0"/>
        <v>185844159</v>
      </c>
      <c r="G23" s="78">
        <v>118931178</v>
      </c>
      <c r="H23" s="79">
        <v>66912981</v>
      </c>
      <c r="I23" s="81">
        <f t="shared" si="1"/>
        <v>185844159</v>
      </c>
      <c r="J23" s="78">
        <v>19300838</v>
      </c>
      <c r="K23" s="79">
        <v>8312161</v>
      </c>
      <c r="L23" s="79">
        <f t="shared" si="2"/>
        <v>27612999</v>
      </c>
      <c r="M23" s="40">
        <f t="shared" si="3"/>
        <v>0.1485814735775473</v>
      </c>
      <c r="N23" s="106">
        <v>24622897</v>
      </c>
      <c r="O23" s="107">
        <v>8312039</v>
      </c>
      <c r="P23" s="108">
        <f t="shared" si="4"/>
        <v>32934936</v>
      </c>
      <c r="Q23" s="40">
        <f t="shared" si="5"/>
        <v>0.17721803137218856</v>
      </c>
      <c r="R23" s="106">
        <v>21398690</v>
      </c>
      <c r="S23" s="108">
        <v>16627384</v>
      </c>
      <c r="T23" s="108">
        <f t="shared" si="6"/>
        <v>38026074</v>
      </c>
      <c r="U23" s="40">
        <f t="shared" si="7"/>
        <v>0.20461269380007793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65322425</v>
      </c>
      <c r="AA23" s="79">
        <f t="shared" si="11"/>
        <v>33251584</v>
      </c>
      <c r="AB23" s="79">
        <f t="shared" si="12"/>
        <v>98574009</v>
      </c>
      <c r="AC23" s="40">
        <f t="shared" si="13"/>
        <v>0.5304121987498138</v>
      </c>
      <c r="AD23" s="78">
        <v>17968714</v>
      </c>
      <c r="AE23" s="79">
        <v>4353772</v>
      </c>
      <c r="AF23" s="79">
        <f t="shared" si="14"/>
        <v>22322486</v>
      </c>
      <c r="AG23" s="40">
        <f>IF(182430875=0,0,64853567/182430875)</f>
        <v>0.3554966614066835</v>
      </c>
      <c r="AH23" s="40">
        <f t="shared" si="15"/>
        <v>0.7034874162313283</v>
      </c>
      <c r="AI23" s="12">
        <v>164115842</v>
      </c>
      <c r="AJ23" s="12">
        <v>182430875</v>
      </c>
      <c r="AK23" s="12">
        <v>64853567</v>
      </c>
      <c r="AL23" s="12"/>
    </row>
    <row r="24" spans="1:38" s="13" customFormat="1" ht="12.75">
      <c r="A24" s="29" t="s">
        <v>95</v>
      </c>
      <c r="B24" s="61" t="s">
        <v>409</v>
      </c>
      <c r="C24" s="39" t="s">
        <v>410</v>
      </c>
      <c r="D24" s="78">
        <v>133114557</v>
      </c>
      <c r="E24" s="79">
        <v>49277000</v>
      </c>
      <c r="F24" s="80">
        <f t="shared" si="0"/>
        <v>182391557</v>
      </c>
      <c r="G24" s="78">
        <v>144260634</v>
      </c>
      <c r="H24" s="79">
        <v>51291447</v>
      </c>
      <c r="I24" s="81">
        <f t="shared" si="1"/>
        <v>195552081</v>
      </c>
      <c r="J24" s="78">
        <v>26434677</v>
      </c>
      <c r="K24" s="79">
        <v>2419772</v>
      </c>
      <c r="L24" s="79">
        <f t="shared" si="2"/>
        <v>28854449</v>
      </c>
      <c r="M24" s="40">
        <f t="shared" si="3"/>
        <v>0.1582005739443301</v>
      </c>
      <c r="N24" s="106">
        <v>29122811</v>
      </c>
      <c r="O24" s="107">
        <v>12289313</v>
      </c>
      <c r="P24" s="108">
        <f t="shared" si="4"/>
        <v>41412124</v>
      </c>
      <c r="Q24" s="40">
        <f t="shared" si="5"/>
        <v>0.2270506633155174</v>
      </c>
      <c r="R24" s="106">
        <v>28473235</v>
      </c>
      <c r="S24" s="108">
        <v>9646974</v>
      </c>
      <c r="T24" s="108">
        <f t="shared" si="6"/>
        <v>38120209</v>
      </c>
      <c r="U24" s="40">
        <f t="shared" si="7"/>
        <v>0.19493635048557728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84030723</v>
      </c>
      <c r="AA24" s="79">
        <f t="shared" si="11"/>
        <v>24356059</v>
      </c>
      <c r="AB24" s="79">
        <f t="shared" si="12"/>
        <v>108386782</v>
      </c>
      <c r="AC24" s="40">
        <f t="shared" si="13"/>
        <v>0.5542604376580375</v>
      </c>
      <c r="AD24" s="78">
        <v>23666497</v>
      </c>
      <c r="AE24" s="79">
        <v>7029368</v>
      </c>
      <c r="AF24" s="79">
        <f t="shared" si="14"/>
        <v>30695865</v>
      </c>
      <c r="AG24" s="40">
        <f>IF(167039155=0,0,90741709/167039155)</f>
        <v>0.5432361592106952</v>
      </c>
      <c r="AH24" s="40">
        <f t="shared" si="15"/>
        <v>0.2418678867658559</v>
      </c>
      <c r="AI24" s="12">
        <v>160105274</v>
      </c>
      <c r="AJ24" s="12">
        <v>167039155</v>
      </c>
      <c r="AK24" s="12">
        <v>90741709</v>
      </c>
      <c r="AL24" s="12"/>
    </row>
    <row r="25" spans="1:38" s="13" customFormat="1" ht="12.75">
      <c r="A25" s="29" t="s">
        <v>95</v>
      </c>
      <c r="B25" s="61" t="s">
        <v>79</v>
      </c>
      <c r="C25" s="39" t="s">
        <v>80</v>
      </c>
      <c r="D25" s="78">
        <v>2288560000</v>
      </c>
      <c r="E25" s="79">
        <v>580121000</v>
      </c>
      <c r="F25" s="80">
        <f t="shared" si="0"/>
        <v>2868681000</v>
      </c>
      <c r="G25" s="78">
        <v>2321968756</v>
      </c>
      <c r="H25" s="79">
        <v>626285336</v>
      </c>
      <c r="I25" s="81">
        <f t="shared" si="1"/>
        <v>2948254092</v>
      </c>
      <c r="J25" s="78">
        <v>563531098</v>
      </c>
      <c r="K25" s="79">
        <v>49932783</v>
      </c>
      <c r="L25" s="79">
        <f t="shared" si="2"/>
        <v>613463881</v>
      </c>
      <c r="M25" s="40">
        <f t="shared" si="3"/>
        <v>0.21384876220116492</v>
      </c>
      <c r="N25" s="106">
        <v>545402319</v>
      </c>
      <c r="O25" s="107">
        <v>109444012</v>
      </c>
      <c r="P25" s="108">
        <f t="shared" si="4"/>
        <v>654846331</v>
      </c>
      <c r="Q25" s="40">
        <f t="shared" si="5"/>
        <v>0.22827436407185045</v>
      </c>
      <c r="R25" s="106">
        <v>557000778</v>
      </c>
      <c r="S25" s="108">
        <v>159573653</v>
      </c>
      <c r="T25" s="108">
        <f t="shared" si="6"/>
        <v>716574431</v>
      </c>
      <c r="U25" s="40">
        <f t="shared" si="7"/>
        <v>0.24305043209959531</v>
      </c>
      <c r="V25" s="106">
        <v>0</v>
      </c>
      <c r="W25" s="108">
        <v>0</v>
      </c>
      <c r="X25" s="108">
        <f t="shared" si="8"/>
        <v>0</v>
      </c>
      <c r="Y25" s="40">
        <f t="shared" si="9"/>
        <v>0</v>
      </c>
      <c r="Z25" s="78">
        <f t="shared" si="10"/>
        <v>1665934195</v>
      </c>
      <c r="AA25" s="79">
        <f t="shared" si="11"/>
        <v>318950448</v>
      </c>
      <c r="AB25" s="79">
        <f t="shared" si="12"/>
        <v>1984884643</v>
      </c>
      <c r="AC25" s="40">
        <f t="shared" si="13"/>
        <v>0.6732406980748117</v>
      </c>
      <c r="AD25" s="78">
        <v>492877195</v>
      </c>
      <c r="AE25" s="79">
        <v>98138532</v>
      </c>
      <c r="AF25" s="79">
        <f t="shared" si="14"/>
        <v>591015727</v>
      </c>
      <c r="AG25" s="40">
        <f>IF(2900603966=0,0,1826466797/2900603966)</f>
        <v>0.6296849960936721</v>
      </c>
      <c r="AH25" s="40">
        <f t="shared" si="15"/>
        <v>0.21244562244956988</v>
      </c>
      <c r="AI25" s="12">
        <v>2664459999</v>
      </c>
      <c r="AJ25" s="12">
        <v>2900603966</v>
      </c>
      <c r="AK25" s="12">
        <v>1826466797</v>
      </c>
      <c r="AL25" s="12"/>
    </row>
    <row r="26" spans="1:38" s="13" customFormat="1" ht="12.75">
      <c r="A26" s="29" t="s">
        <v>95</v>
      </c>
      <c r="B26" s="61" t="s">
        <v>411</v>
      </c>
      <c r="C26" s="39" t="s">
        <v>412</v>
      </c>
      <c r="D26" s="78">
        <v>292877670</v>
      </c>
      <c r="E26" s="79">
        <v>129612150</v>
      </c>
      <c r="F26" s="80">
        <f t="shared" si="0"/>
        <v>422489820</v>
      </c>
      <c r="G26" s="78">
        <v>292877670</v>
      </c>
      <c r="H26" s="79">
        <v>129612150</v>
      </c>
      <c r="I26" s="81">
        <f t="shared" si="1"/>
        <v>422489820</v>
      </c>
      <c r="J26" s="78">
        <v>37087885</v>
      </c>
      <c r="K26" s="79">
        <v>5303719</v>
      </c>
      <c r="L26" s="79">
        <f t="shared" si="2"/>
        <v>42391604</v>
      </c>
      <c r="M26" s="40">
        <f t="shared" si="3"/>
        <v>0.10033757499766503</v>
      </c>
      <c r="N26" s="106">
        <v>38381949</v>
      </c>
      <c r="O26" s="107">
        <v>12932585</v>
      </c>
      <c r="P26" s="108">
        <f t="shared" si="4"/>
        <v>51314534</v>
      </c>
      <c r="Q26" s="40">
        <f t="shared" si="5"/>
        <v>0.12145744482080065</v>
      </c>
      <c r="R26" s="106">
        <v>37801827</v>
      </c>
      <c r="S26" s="108">
        <v>17223442</v>
      </c>
      <c r="T26" s="108">
        <f t="shared" si="6"/>
        <v>55025269</v>
      </c>
      <c r="U26" s="40">
        <f t="shared" si="7"/>
        <v>0.13024046117844923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113271661</v>
      </c>
      <c r="AA26" s="79">
        <f t="shared" si="11"/>
        <v>35459746</v>
      </c>
      <c r="AB26" s="79">
        <f t="shared" si="12"/>
        <v>148731407</v>
      </c>
      <c r="AC26" s="40">
        <f t="shared" si="13"/>
        <v>0.3520354809969149</v>
      </c>
      <c r="AD26" s="78">
        <v>32312418</v>
      </c>
      <c r="AE26" s="79">
        <v>6370257</v>
      </c>
      <c r="AF26" s="79">
        <f t="shared" si="14"/>
        <v>38682675</v>
      </c>
      <c r="AG26" s="40">
        <f>IF(374552755=0,0,132636553/374552755)</f>
        <v>0.3541198168466282</v>
      </c>
      <c r="AH26" s="40">
        <f t="shared" si="15"/>
        <v>0.42247838341066113</v>
      </c>
      <c r="AI26" s="12">
        <v>348994157</v>
      </c>
      <c r="AJ26" s="12">
        <v>374552755</v>
      </c>
      <c r="AK26" s="12">
        <v>132636553</v>
      </c>
      <c r="AL26" s="12"/>
    </row>
    <row r="27" spans="1:38" s="13" customFormat="1" ht="12.75">
      <c r="A27" s="29" t="s">
        <v>114</v>
      </c>
      <c r="B27" s="61" t="s">
        <v>413</v>
      </c>
      <c r="C27" s="39" t="s">
        <v>414</v>
      </c>
      <c r="D27" s="78">
        <v>708980000</v>
      </c>
      <c r="E27" s="79">
        <v>301632000</v>
      </c>
      <c r="F27" s="80">
        <f t="shared" si="0"/>
        <v>1010612000</v>
      </c>
      <c r="G27" s="78">
        <v>731767791</v>
      </c>
      <c r="H27" s="79">
        <v>332466616</v>
      </c>
      <c r="I27" s="81">
        <f t="shared" si="1"/>
        <v>1064234407</v>
      </c>
      <c r="J27" s="78">
        <v>146916081</v>
      </c>
      <c r="K27" s="79">
        <v>34384963</v>
      </c>
      <c r="L27" s="79">
        <f t="shared" si="2"/>
        <v>181301044</v>
      </c>
      <c r="M27" s="40">
        <f t="shared" si="3"/>
        <v>0.17939728006396125</v>
      </c>
      <c r="N27" s="106">
        <v>189623178</v>
      </c>
      <c r="O27" s="107">
        <v>71574838</v>
      </c>
      <c r="P27" s="108">
        <f t="shared" si="4"/>
        <v>261198016</v>
      </c>
      <c r="Q27" s="40">
        <f t="shared" si="5"/>
        <v>0.2584552884786644</v>
      </c>
      <c r="R27" s="106">
        <v>100527987</v>
      </c>
      <c r="S27" s="108">
        <v>117514043</v>
      </c>
      <c r="T27" s="108">
        <f t="shared" si="6"/>
        <v>218042030</v>
      </c>
      <c r="U27" s="40">
        <f t="shared" si="7"/>
        <v>0.20488158301012344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437067246</v>
      </c>
      <c r="AA27" s="79">
        <f t="shared" si="11"/>
        <v>223473844</v>
      </c>
      <c r="AB27" s="79">
        <f t="shared" si="12"/>
        <v>660541090</v>
      </c>
      <c r="AC27" s="40">
        <f t="shared" si="13"/>
        <v>0.6206725563985642</v>
      </c>
      <c r="AD27" s="78">
        <v>149985922</v>
      </c>
      <c r="AE27" s="79">
        <v>60529264</v>
      </c>
      <c r="AF27" s="79">
        <f t="shared" si="14"/>
        <v>210515186</v>
      </c>
      <c r="AG27" s="40">
        <f>IF(1177092549=0,0,611101341/1177092549)</f>
        <v>0.5191616763857367</v>
      </c>
      <c r="AH27" s="40">
        <f t="shared" si="15"/>
        <v>0.03575439920994583</v>
      </c>
      <c r="AI27" s="12">
        <v>978588000</v>
      </c>
      <c r="AJ27" s="12">
        <v>1177092549</v>
      </c>
      <c r="AK27" s="12">
        <v>611101341</v>
      </c>
      <c r="AL27" s="12"/>
    </row>
    <row r="28" spans="1:38" s="57" customFormat="1" ht="12.75">
      <c r="A28" s="62"/>
      <c r="B28" s="63" t="s">
        <v>415</v>
      </c>
      <c r="C28" s="32"/>
      <c r="D28" s="82">
        <f>SUM(D22:D27)</f>
        <v>3733158608</v>
      </c>
      <c r="E28" s="83">
        <f>SUM(E22:E27)</f>
        <v>1184266689</v>
      </c>
      <c r="F28" s="91">
        <f t="shared" si="0"/>
        <v>4917425297</v>
      </c>
      <c r="G28" s="82">
        <f>SUM(G22:G27)</f>
        <v>3842189461</v>
      </c>
      <c r="H28" s="83">
        <f>SUM(H22:H27)</f>
        <v>1263280088</v>
      </c>
      <c r="I28" s="84">
        <f t="shared" si="1"/>
        <v>5105469549</v>
      </c>
      <c r="J28" s="82">
        <f>SUM(J22:J27)</f>
        <v>828956140</v>
      </c>
      <c r="K28" s="83">
        <f>SUM(K22:K27)</f>
        <v>108857870</v>
      </c>
      <c r="L28" s="83">
        <f t="shared" si="2"/>
        <v>937814010</v>
      </c>
      <c r="M28" s="44">
        <f t="shared" si="3"/>
        <v>0.19071240605772644</v>
      </c>
      <c r="N28" s="112">
        <f>SUM(N22:N27)</f>
        <v>872796319</v>
      </c>
      <c r="O28" s="113">
        <f>SUM(O22:O27)</f>
        <v>242655285</v>
      </c>
      <c r="P28" s="114">
        <f t="shared" si="4"/>
        <v>1115451604</v>
      </c>
      <c r="Q28" s="44">
        <f t="shared" si="5"/>
        <v>0.22683651232699142</v>
      </c>
      <c r="R28" s="112">
        <f>SUM(R22:R27)</f>
        <v>786798698</v>
      </c>
      <c r="S28" s="114">
        <f>SUM(S22:S27)</f>
        <v>329434843</v>
      </c>
      <c r="T28" s="114">
        <f t="shared" si="6"/>
        <v>1116233541</v>
      </c>
      <c r="U28" s="44">
        <f t="shared" si="7"/>
        <v>0.21863484451075316</v>
      </c>
      <c r="V28" s="112">
        <f>SUM(V22:V27)</f>
        <v>0</v>
      </c>
      <c r="W28" s="114">
        <f>SUM(W22:W27)</f>
        <v>0</v>
      </c>
      <c r="X28" s="114">
        <f t="shared" si="8"/>
        <v>0</v>
      </c>
      <c r="Y28" s="44">
        <f t="shared" si="9"/>
        <v>0</v>
      </c>
      <c r="Z28" s="82">
        <f t="shared" si="10"/>
        <v>2488551157</v>
      </c>
      <c r="AA28" s="83">
        <f t="shared" si="11"/>
        <v>680947998</v>
      </c>
      <c r="AB28" s="83">
        <f t="shared" si="12"/>
        <v>3169499155</v>
      </c>
      <c r="AC28" s="44">
        <f t="shared" si="13"/>
        <v>0.6208046340460114</v>
      </c>
      <c r="AD28" s="82">
        <f>SUM(AD22:AD27)</f>
        <v>752551574</v>
      </c>
      <c r="AE28" s="83">
        <f>SUM(AE22:AE27)</f>
        <v>184785356</v>
      </c>
      <c r="AF28" s="83">
        <f t="shared" si="14"/>
        <v>937336930</v>
      </c>
      <c r="AG28" s="44">
        <f>IF(1177092549=0,0,611101341/1177092549)</f>
        <v>0.5191616763857367</v>
      </c>
      <c r="AH28" s="44">
        <f t="shared" si="15"/>
        <v>0.1908562495238506</v>
      </c>
      <c r="AI28" s="64">
        <f>SUM(AI22:AI27)</f>
        <v>4522629183</v>
      </c>
      <c r="AJ28" s="64">
        <f>SUM(AJ22:AJ27)</f>
        <v>5024871385</v>
      </c>
      <c r="AK28" s="64">
        <f>SUM(AK22:AK27)</f>
        <v>2853944087</v>
      </c>
      <c r="AL28" s="64"/>
    </row>
    <row r="29" spans="1:38" s="13" customFormat="1" ht="12.75">
      <c r="A29" s="29" t="s">
        <v>95</v>
      </c>
      <c r="B29" s="61" t="s">
        <v>416</v>
      </c>
      <c r="C29" s="39" t="s">
        <v>417</v>
      </c>
      <c r="D29" s="78">
        <v>268385038</v>
      </c>
      <c r="E29" s="79">
        <v>59838059</v>
      </c>
      <c r="F29" s="80">
        <f t="shared" si="0"/>
        <v>328223097</v>
      </c>
      <c r="G29" s="78">
        <v>317196842</v>
      </c>
      <c r="H29" s="79">
        <v>5962800</v>
      </c>
      <c r="I29" s="81">
        <f t="shared" si="1"/>
        <v>323159642</v>
      </c>
      <c r="J29" s="78">
        <v>43000128</v>
      </c>
      <c r="K29" s="79">
        <v>0</v>
      </c>
      <c r="L29" s="79">
        <f t="shared" si="2"/>
        <v>43000128</v>
      </c>
      <c r="M29" s="40">
        <f t="shared" si="3"/>
        <v>0.13100884243987254</v>
      </c>
      <c r="N29" s="106">
        <v>59134919</v>
      </c>
      <c r="O29" s="107">
        <v>0</v>
      </c>
      <c r="P29" s="108">
        <f t="shared" si="4"/>
        <v>59134919</v>
      </c>
      <c r="Q29" s="40">
        <f t="shared" si="5"/>
        <v>0.18016684243278588</v>
      </c>
      <c r="R29" s="106">
        <v>38614808</v>
      </c>
      <c r="S29" s="108">
        <v>0</v>
      </c>
      <c r="T29" s="108">
        <f t="shared" si="6"/>
        <v>38614808</v>
      </c>
      <c r="U29" s="40">
        <f t="shared" si="7"/>
        <v>0.11949143080186975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140749855</v>
      </c>
      <c r="AA29" s="79">
        <f t="shared" si="11"/>
        <v>0</v>
      </c>
      <c r="AB29" s="79">
        <f t="shared" si="12"/>
        <v>140749855</v>
      </c>
      <c r="AC29" s="40">
        <f t="shared" si="13"/>
        <v>0.4355427989983972</v>
      </c>
      <c r="AD29" s="78">
        <v>57080077</v>
      </c>
      <c r="AE29" s="79">
        <v>27800</v>
      </c>
      <c r="AF29" s="79">
        <f t="shared" si="14"/>
        <v>57107877</v>
      </c>
      <c r="AG29" s="40">
        <f>IF(333612269=0,0,158263024/333612269)</f>
        <v>0.4743920973721743</v>
      </c>
      <c r="AH29" s="40">
        <f t="shared" si="15"/>
        <v>-0.32382693897025794</v>
      </c>
      <c r="AI29" s="12">
        <v>320459418</v>
      </c>
      <c r="AJ29" s="12">
        <v>333612269</v>
      </c>
      <c r="AK29" s="12">
        <v>158263024</v>
      </c>
      <c r="AL29" s="12"/>
    </row>
    <row r="30" spans="1:38" s="13" customFormat="1" ht="12.75">
      <c r="A30" s="29" t="s">
        <v>95</v>
      </c>
      <c r="B30" s="61" t="s">
        <v>418</v>
      </c>
      <c r="C30" s="39" t="s">
        <v>419</v>
      </c>
      <c r="D30" s="78">
        <v>437350733</v>
      </c>
      <c r="E30" s="79">
        <v>75903840</v>
      </c>
      <c r="F30" s="80">
        <f t="shared" si="0"/>
        <v>513254573</v>
      </c>
      <c r="G30" s="78">
        <v>571381396</v>
      </c>
      <c r="H30" s="79">
        <v>75903840</v>
      </c>
      <c r="I30" s="81">
        <f t="shared" si="1"/>
        <v>647285236</v>
      </c>
      <c r="J30" s="78">
        <v>30622330</v>
      </c>
      <c r="K30" s="79">
        <v>18825830</v>
      </c>
      <c r="L30" s="79">
        <f t="shared" si="2"/>
        <v>49448160</v>
      </c>
      <c r="M30" s="40">
        <f t="shared" si="3"/>
        <v>0.0963423661497508</v>
      </c>
      <c r="N30" s="106">
        <v>0</v>
      </c>
      <c r="O30" s="107">
        <v>0</v>
      </c>
      <c r="P30" s="108">
        <f t="shared" si="4"/>
        <v>0</v>
      </c>
      <c r="Q30" s="40">
        <f t="shared" si="5"/>
        <v>0</v>
      </c>
      <c r="R30" s="106">
        <v>84097298</v>
      </c>
      <c r="S30" s="108">
        <v>8862322</v>
      </c>
      <c r="T30" s="108">
        <f t="shared" si="6"/>
        <v>92959620</v>
      </c>
      <c r="U30" s="40">
        <f t="shared" si="7"/>
        <v>0.14361461505666104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114719628</v>
      </c>
      <c r="AA30" s="79">
        <f t="shared" si="11"/>
        <v>27688152</v>
      </c>
      <c r="AB30" s="79">
        <f t="shared" si="12"/>
        <v>142407780</v>
      </c>
      <c r="AC30" s="40">
        <f t="shared" si="13"/>
        <v>0.22000776795100577</v>
      </c>
      <c r="AD30" s="78">
        <v>0</v>
      </c>
      <c r="AE30" s="79">
        <v>0</v>
      </c>
      <c r="AF30" s="79">
        <f t="shared" si="14"/>
        <v>0</v>
      </c>
      <c r="AG30" s="40">
        <f>IF(500975580=0,0,42090745/500975580)</f>
        <v>0.08401755830094552</v>
      </c>
      <c r="AH30" s="40">
        <f t="shared" si="15"/>
        <v>0</v>
      </c>
      <c r="AI30" s="12">
        <v>461868992</v>
      </c>
      <c r="AJ30" s="12">
        <v>500975580</v>
      </c>
      <c r="AK30" s="12">
        <v>42090745</v>
      </c>
      <c r="AL30" s="12"/>
    </row>
    <row r="31" spans="1:38" s="13" customFormat="1" ht="12.75">
      <c r="A31" s="29" t="s">
        <v>95</v>
      </c>
      <c r="B31" s="61" t="s">
        <v>420</v>
      </c>
      <c r="C31" s="39" t="s">
        <v>421</v>
      </c>
      <c r="D31" s="78">
        <v>162689872</v>
      </c>
      <c r="E31" s="79">
        <v>16156000</v>
      </c>
      <c r="F31" s="81">
        <f t="shared" si="0"/>
        <v>178845872</v>
      </c>
      <c r="G31" s="78">
        <v>2722810</v>
      </c>
      <c r="H31" s="79">
        <v>16156000</v>
      </c>
      <c r="I31" s="81">
        <f t="shared" si="1"/>
        <v>18878810</v>
      </c>
      <c r="J31" s="78">
        <v>28668988</v>
      </c>
      <c r="K31" s="79">
        <v>2913617</v>
      </c>
      <c r="L31" s="79">
        <f t="shared" si="2"/>
        <v>31582605</v>
      </c>
      <c r="M31" s="40">
        <f t="shared" si="3"/>
        <v>0.17659118796994094</v>
      </c>
      <c r="N31" s="106">
        <v>40035418</v>
      </c>
      <c r="O31" s="107">
        <v>4916380</v>
      </c>
      <c r="P31" s="108">
        <f t="shared" si="4"/>
        <v>44951798</v>
      </c>
      <c r="Q31" s="40">
        <f t="shared" si="5"/>
        <v>0.25134378276284736</v>
      </c>
      <c r="R31" s="106">
        <v>0</v>
      </c>
      <c r="S31" s="108">
        <v>2253842</v>
      </c>
      <c r="T31" s="108">
        <f t="shared" si="6"/>
        <v>2253842</v>
      </c>
      <c r="U31" s="40">
        <f t="shared" si="7"/>
        <v>0.11938474935655373</v>
      </c>
      <c r="V31" s="106">
        <v>0</v>
      </c>
      <c r="W31" s="108">
        <v>0</v>
      </c>
      <c r="X31" s="108">
        <f t="shared" si="8"/>
        <v>0</v>
      </c>
      <c r="Y31" s="40">
        <f t="shared" si="9"/>
        <v>0</v>
      </c>
      <c r="Z31" s="78">
        <f t="shared" si="10"/>
        <v>68704406</v>
      </c>
      <c r="AA31" s="79">
        <f t="shared" si="11"/>
        <v>10083839</v>
      </c>
      <c r="AB31" s="79">
        <f t="shared" si="12"/>
        <v>78788245</v>
      </c>
      <c r="AC31" s="40">
        <f t="shared" si="13"/>
        <v>4.173369243082588</v>
      </c>
      <c r="AD31" s="78">
        <v>46662328</v>
      </c>
      <c r="AE31" s="79">
        <v>9221577</v>
      </c>
      <c r="AF31" s="79">
        <f t="shared" si="14"/>
        <v>55883905</v>
      </c>
      <c r="AG31" s="40">
        <f>IF(159583844=0,0,115261424/159583844)</f>
        <v>0.7222624866712698</v>
      </c>
      <c r="AH31" s="40">
        <f t="shared" si="15"/>
        <v>-0.9596692106609228</v>
      </c>
      <c r="AI31" s="12">
        <v>150914041</v>
      </c>
      <c r="AJ31" s="12">
        <v>159583844</v>
      </c>
      <c r="AK31" s="12">
        <v>115261424</v>
      </c>
      <c r="AL31" s="12"/>
    </row>
    <row r="32" spans="1:38" s="13" customFormat="1" ht="12.75">
      <c r="A32" s="29" t="s">
        <v>95</v>
      </c>
      <c r="B32" s="61" t="s">
        <v>422</v>
      </c>
      <c r="C32" s="39" t="s">
        <v>423</v>
      </c>
      <c r="D32" s="78">
        <v>335738868</v>
      </c>
      <c r="E32" s="79">
        <v>31936250</v>
      </c>
      <c r="F32" s="80">
        <f t="shared" si="0"/>
        <v>367675118</v>
      </c>
      <c r="G32" s="78">
        <v>335738868</v>
      </c>
      <c r="H32" s="79">
        <v>32969250</v>
      </c>
      <c r="I32" s="81">
        <f t="shared" si="1"/>
        <v>368708118</v>
      </c>
      <c r="J32" s="78">
        <v>48593642</v>
      </c>
      <c r="K32" s="79">
        <v>2566657</v>
      </c>
      <c r="L32" s="79">
        <f t="shared" si="2"/>
        <v>51160299</v>
      </c>
      <c r="M32" s="40">
        <f t="shared" si="3"/>
        <v>0.13914539356998315</v>
      </c>
      <c r="N32" s="106">
        <v>83071048</v>
      </c>
      <c r="O32" s="107">
        <v>21653283</v>
      </c>
      <c r="P32" s="108">
        <f t="shared" si="4"/>
        <v>104724331</v>
      </c>
      <c r="Q32" s="40">
        <f t="shared" si="5"/>
        <v>0.28482844193987583</v>
      </c>
      <c r="R32" s="106">
        <v>50539262</v>
      </c>
      <c r="S32" s="108">
        <v>3965191</v>
      </c>
      <c r="T32" s="108">
        <f t="shared" si="6"/>
        <v>54504453</v>
      </c>
      <c r="U32" s="40">
        <f t="shared" si="7"/>
        <v>0.14782547586869244</v>
      </c>
      <c r="V32" s="106">
        <v>0</v>
      </c>
      <c r="W32" s="108">
        <v>0</v>
      </c>
      <c r="X32" s="108">
        <f t="shared" si="8"/>
        <v>0</v>
      </c>
      <c r="Y32" s="40">
        <f t="shared" si="9"/>
        <v>0</v>
      </c>
      <c r="Z32" s="78">
        <f t="shared" si="10"/>
        <v>182203952</v>
      </c>
      <c r="AA32" s="79">
        <f t="shared" si="11"/>
        <v>28185131</v>
      </c>
      <c r="AB32" s="79">
        <f t="shared" si="12"/>
        <v>210389083</v>
      </c>
      <c r="AC32" s="40">
        <f t="shared" si="13"/>
        <v>0.5706114748468869</v>
      </c>
      <c r="AD32" s="78">
        <v>66780975</v>
      </c>
      <c r="AE32" s="79">
        <v>9490811</v>
      </c>
      <c r="AF32" s="79">
        <f t="shared" si="14"/>
        <v>76271786</v>
      </c>
      <c r="AG32" s="40">
        <f>IF(359150906=0,0,212120452/359150906)</f>
        <v>0.5906165025795591</v>
      </c>
      <c r="AH32" s="40">
        <f t="shared" si="15"/>
        <v>-0.28539167812328403</v>
      </c>
      <c r="AI32" s="12">
        <v>337550461</v>
      </c>
      <c r="AJ32" s="12">
        <v>359150906</v>
      </c>
      <c r="AK32" s="12">
        <v>212120452</v>
      </c>
      <c r="AL32" s="12"/>
    </row>
    <row r="33" spans="1:38" s="13" customFormat="1" ht="12.75">
      <c r="A33" s="29" t="s">
        <v>95</v>
      </c>
      <c r="B33" s="61" t="s">
        <v>424</v>
      </c>
      <c r="C33" s="39" t="s">
        <v>425</v>
      </c>
      <c r="D33" s="78">
        <v>368226250</v>
      </c>
      <c r="E33" s="79">
        <v>53182750</v>
      </c>
      <c r="F33" s="80">
        <f t="shared" si="0"/>
        <v>421409000</v>
      </c>
      <c r="G33" s="78">
        <v>387146156</v>
      </c>
      <c r="H33" s="79">
        <v>50294646</v>
      </c>
      <c r="I33" s="81">
        <f t="shared" si="1"/>
        <v>437440802</v>
      </c>
      <c r="J33" s="78">
        <v>70949105</v>
      </c>
      <c r="K33" s="79">
        <v>9007005</v>
      </c>
      <c r="L33" s="79">
        <f t="shared" si="2"/>
        <v>79956110</v>
      </c>
      <c r="M33" s="40">
        <f t="shared" si="3"/>
        <v>0.18973517414198557</v>
      </c>
      <c r="N33" s="106">
        <v>77168337</v>
      </c>
      <c r="O33" s="107">
        <v>16946279</v>
      </c>
      <c r="P33" s="108">
        <f t="shared" si="4"/>
        <v>94114616</v>
      </c>
      <c r="Q33" s="40">
        <f t="shared" si="5"/>
        <v>0.2233331893718454</v>
      </c>
      <c r="R33" s="106">
        <v>63906690</v>
      </c>
      <c r="S33" s="108">
        <v>7269747</v>
      </c>
      <c r="T33" s="108">
        <f t="shared" si="6"/>
        <v>71176437</v>
      </c>
      <c r="U33" s="40">
        <f t="shared" si="7"/>
        <v>0.16271101523812587</v>
      </c>
      <c r="V33" s="106">
        <v>0</v>
      </c>
      <c r="W33" s="108">
        <v>0</v>
      </c>
      <c r="X33" s="108">
        <f t="shared" si="8"/>
        <v>0</v>
      </c>
      <c r="Y33" s="40">
        <f t="shared" si="9"/>
        <v>0</v>
      </c>
      <c r="Z33" s="78">
        <f t="shared" si="10"/>
        <v>212024132</v>
      </c>
      <c r="AA33" s="79">
        <f t="shared" si="11"/>
        <v>33223031</v>
      </c>
      <c r="AB33" s="79">
        <f t="shared" si="12"/>
        <v>245247163</v>
      </c>
      <c r="AC33" s="40">
        <f t="shared" si="13"/>
        <v>0.560640804147026</v>
      </c>
      <c r="AD33" s="78">
        <v>49229721</v>
      </c>
      <c r="AE33" s="79">
        <v>1166334</v>
      </c>
      <c r="AF33" s="79">
        <f t="shared" si="14"/>
        <v>50396055</v>
      </c>
      <c r="AG33" s="40">
        <f>IF(397588261=0,0,236316777/397588261)</f>
        <v>0.5943756397777549</v>
      </c>
      <c r="AH33" s="40">
        <f t="shared" si="15"/>
        <v>0.4123414422021723</v>
      </c>
      <c r="AI33" s="12">
        <v>328063800</v>
      </c>
      <c r="AJ33" s="12">
        <v>397588261</v>
      </c>
      <c r="AK33" s="12">
        <v>236316777</v>
      </c>
      <c r="AL33" s="12"/>
    </row>
    <row r="34" spans="1:38" s="13" customFormat="1" ht="12.75">
      <c r="A34" s="29" t="s">
        <v>95</v>
      </c>
      <c r="B34" s="61" t="s">
        <v>426</v>
      </c>
      <c r="C34" s="39" t="s">
        <v>427</v>
      </c>
      <c r="D34" s="78">
        <v>783557725</v>
      </c>
      <c r="E34" s="79">
        <v>409888680</v>
      </c>
      <c r="F34" s="80">
        <f t="shared" si="0"/>
        <v>1193446405</v>
      </c>
      <c r="G34" s="78">
        <v>783557725</v>
      </c>
      <c r="H34" s="79">
        <v>409888680</v>
      </c>
      <c r="I34" s="81">
        <f t="shared" si="1"/>
        <v>1193446405</v>
      </c>
      <c r="J34" s="78">
        <v>109164545</v>
      </c>
      <c r="K34" s="79">
        <v>122078859</v>
      </c>
      <c r="L34" s="79">
        <f t="shared" si="2"/>
        <v>231243404</v>
      </c>
      <c r="M34" s="40">
        <f t="shared" si="3"/>
        <v>0.1937610294280454</v>
      </c>
      <c r="N34" s="106">
        <v>172903946</v>
      </c>
      <c r="O34" s="107">
        <v>110582775</v>
      </c>
      <c r="P34" s="108">
        <f t="shared" si="4"/>
        <v>283486721</v>
      </c>
      <c r="Q34" s="40">
        <f t="shared" si="5"/>
        <v>0.2375361975303784</v>
      </c>
      <c r="R34" s="106">
        <v>0</v>
      </c>
      <c r="S34" s="108">
        <v>0</v>
      </c>
      <c r="T34" s="108">
        <f t="shared" si="6"/>
        <v>0</v>
      </c>
      <c r="U34" s="40">
        <f t="shared" si="7"/>
        <v>0</v>
      </c>
      <c r="V34" s="106">
        <v>0</v>
      </c>
      <c r="W34" s="108">
        <v>0</v>
      </c>
      <c r="X34" s="108">
        <f t="shared" si="8"/>
        <v>0</v>
      </c>
      <c r="Y34" s="40">
        <f t="shared" si="9"/>
        <v>0</v>
      </c>
      <c r="Z34" s="78">
        <f t="shared" si="10"/>
        <v>282068491</v>
      </c>
      <c r="AA34" s="79">
        <f t="shared" si="11"/>
        <v>232661634</v>
      </c>
      <c r="AB34" s="79">
        <f t="shared" si="12"/>
        <v>514730125</v>
      </c>
      <c r="AC34" s="40">
        <f t="shared" si="13"/>
        <v>0.4312972269584238</v>
      </c>
      <c r="AD34" s="78">
        <v>148344705</v>
      </c>
      <c r="AE34" s="79">
        <v>48628214</v>
      </c>
      <c r="AF34" s="79">
        <f t="shared" si="14"/>
        <v>196972919</v>
      </c>
      <c r="AG34" s="40">
        <f>IF(1226668335=0,0,510423858/1226668335)</f>
        <v>0.416105840051704</v>
      </c>
      <c r="AH34" s="40">
        <f t="shared" si="15"/>
        <v>-1</v>
      </c>
      <c r="AI34" s="12">
        <v>1081413168</v>
      </c>
      <c r="AJ34" s="12">
        <v>1226668335</v>
      </c>
      <c r="AK34" s="12">
        <v>510423858</v>
      </c>
      <c r="AL34" s="12"/>
    </row>
    <row r="35" spans="1:38" s="13" customFormat="1" ht="12.75">
      <c r="A35" s="29" t="s">
        <v>114</v>
      </c>
      <c r="B35" s="61" t="s">
        <v>428</v>
      </c>
      <c r="C35" s="39" t="s">
        <v>429</v>
      </c>
      <c r="D35" s="78">
        <v>167008097</v>
      </c>
      <c r="E35" s="79">
        <v>0</v>
      </c>
      <c r="F35" s="80">
        <f t="shared" si="0"/>
        <v>167008097</v>
      </c>
      <c r="G35" s="78">
        <v>167008097</v>
      </c>
      <c r="H35" s="79">
        <v>0</v>
      </c>
      <c r="I35" s="81">
        <f t="shared" si="1"/>
        <v>167008097</v>
      </c>
      <c r="J35" s="78">
        <v>25816865</v>
      </c>
      <c r="K35" s="79">
        <v>0</v>
      </c>
      <c r="L35" s="79">
        <f t="shared" si="2"/>
        <v>25816865</v>
      </c>
      <c r="M35" s="40">
        <f t="shared" si="3"/>
        <v>0.1545845109533821</v>
      </c>
      <c r="N35" s="106">
        <v>38911778</v>
      </c>
      <c r="O35" s="107">
        <v>0</v>
      </c>
      <c r="P35" s="108">
        <f t="shared" si="4"/>
        <v>38911778</v>
      </c>
      <c r="Q35" s="40">
        <f t="shared" si="5"/>
        <v>0.23299336199250267</v>
      </c>
      <c r="R35" s="106">
        <v>32877762</v>
      </c>
      <c r="S35" s="108">
        <v>0</v>
      </c>
      <c r="T35" s="108">
        <f t="shared" si="6"/>
        <v>32877762</v>
      </c>
      <c r="U35" s="40">
        <f t="shared" si="7"/>
        <v>0.19686328142521137</v>
      </c>
      <c r="V35" s="106">
        <v>0</v>
      </c>
      <c r="W35" s="108">
        <v>0</v>
      </c>
      <c r="X35" s="108">
        <f t="shared" si="8"/>
        <v>0</v>
      </c>
      <c r="Y35" s="40">
        <f t="shared" si="9"/>
        <v>0</v>
      </c>
      <c r="Z35" s="78">
        <f t="shared" si="10"/>
        <v>97606405</v>
      </c>
      <c r="AA35" s="79">
        <f t="shared" si="11"/>
        <v>0</v>
      </c>
      <c r="AB35" s="79">
        <f t="shared" si="12"/>
        <v>97606405</v>
      </c>
      <c r="AC35" s="40">
        <f t="shared" si="13"/>
        <v>0.5844411543710961</v>
      </c>
      <c r="AD35" s="78">
        <v>24247798</v>
      </c>
      <c r="AE35" s="79">
        <v>1789996</v>
      </c>
      <c r="AF35" s="79">
        <f t="shared" si="14"/>
        <v>26037794</v>
      </c>
      <c r="AG35" s="40">
        <f>IF(143534006=0,0,81148232/143534006)</f>
        <v>0.565358929646261</v>
      </c>
      <c r="AH35" s="40">
        <f t="shared" si="15"/>
        <v>0.26269383650550426</v>
      </c>
      <c r="AI35" s="12">
        <v>125216108</v>
      </c>
      <c r="AJ35" s="12">
        <v>143534006</v>
      </c>
      <c r="AK35" s="12">
        <v>81148232</v>
      </c>
      <c r="AL35" s="12"/>
    </row>
    <row r="36" spans="1:38" s="57" customFormat="1" ht="12.75">
      <c r="A36" s="62"/>
      <c r="B36" s="63" t="s">
        <v>430</v>
      </c>
      <c r="C36" s="32"/>
      <c r="D36" s="82">
        <f>SUM(D29:D35)</f>
        <v>2522956583</v>
      </c>
      <c r="E36" s="83">
        <f>SUM(E29:E35)</f>
        <v>646905579</v>
      </c>
      <c r="F36" s="91">
        <f t="shared" si="0"/>
        <v>3169862162</v>
      </c>
      <c r="G36" s="82">
        <f>SUM(G29:G35)</f>
        <v>2564751894</v>
      </c>
      <c r="H36" s="83">
        <f>SUM(H29:H35)</f>
        <v>591175216</v>
      </c>
      <c r="I36" s="84">
        <f t="shared" si="1"/>
        <v>3155927110</v>
      </c>
      <c r="J36" s="82">
        <f>SUM(J29:J35)</f>
        <v>356815603</v>
      </c>
      <c r="K36" s="83">
        <f>SUM(K29:K35)</f>
        <v>155391968</v>
      </c>
      <c r="L36" s="83">
        <f t="shared" si="2"/>
        <v>512207571</v>
      </c>
      <c r="M36" s="44">
        <f t="shared" si="3"/>
        <v>0.16158670151033527</v>
      </c>
      <c r="N36" s="112">
        <f>SUM(N29:N35)</f>
        <v>471225446</v>
      </c>
      <c r="O36" s="113">
        <f>SUM(O29:O35)</f>
        <v>154098717</v>
      </c>
      <c r="P36" s="114">
        <f t="shared" si="4"/>
        <v>625324163</v>
      </c>
      <c r="Q36" s="44">
        <f t="shared" si="5"/>
        <v>0.19727172067490042</v>
      </c>
      <c r="R36" s="112">
        <f>SUM(R29:R35)</f>
        <v>270035820</v>
      </c>
      <c r="S36" s="114">
        <f>SUM(S29:S35)</f>
        <v>22351102</v>
      </c>
      <c r="T36" s="114">
        <f t="shared" si="6"/>
        <v>292386922</v>
      </c>
      <c r="U36" s="44">
        <f t="shared" si="7"/>
        <v>0.09264691857854727</v>
      </c>
      <c r="V36" s="112">
        <f>SUM(V29:V35)</f>
        <v>0</v>
      </c>
      <c r="W36" s="114">
        <f>SUM(W29:W35)</f>
        <v>0</v>
      </c>
      <c r="X36" s="114">
        <f t="shared" si="8"/>
        <v>0</v>
      </c>
      <c r="Y36" s="44">
        <f t="shared" si="9"/>
        <v>0</v>
      </c>
      <c r="Z36" s="82">
        <f t="shared" si="10"/>
        <v>1098076869</v>
      </c>
      <c r="AA36" s="83">
        <f t="shared" si="11"/>
        <v>331841787</v>
      </c>
      <c r="AB36" s="83">
        <f t="shared" si="12"/>
        <v>1429918656</v>
      </c>
      <c r="AC36" s="44">
        <f t="shared" si="13"/>
        <v>0.45308988647713094</v>
      </c>
      <c r="AD36" s="82">
        <f>SUM(AD29:AD35)</f>
        <v>392345604</v>
      </c>
      <c r="AE36" s="83">
        <f>SUM(AE29:AE35)</f>
        <v>70324732</v>
      </c>
      <c r="AF36" s="83">
        <f t="shared" si="14"/>
        <v>462670336</v>
      </c>
      <c r="AG36" s="44">
        <f>IF(143534006=0,0,81148232/143534006)</f>
        <v>0.565358929646261</v>
      </c>
      <c r="AH36" s="44">
        <f t="shared" si="15"/>
        <v>-0.3680448058809631</v>
      </c>
      <c r="AI36" s="64">
        <f>SUM(AI29:AI35)</f>
        <v>2805485988</v>
      </c>
      <c r="AJ36" s="64">
        <f>SUM(AJ29:AJ35)</f>
        <v>3121113201</v>
      </c>
      <c r="AK36" s="64">
        <f>SUM(AK29:AK35)</f>
        <v>1355624512</v>
      </c>
      <c r="AL36" s="64"/>
    </row>
    <row r="37" spans="1:38" s="13" customFormat="1" ht="12.75">
      <c r="A37" s="29" t="s">
        <v>95</v>
      </c>
      <c r="B37" s="61" t="s">
        <v>431</v>
      </c>
      <c r="C37" s="39" t="s">
        <v>432</v>
      </c>
      <c r="D37" s="78">
        <v>305416261</v>
      </c>
      <c r="E37" s="79">
        <v>70815213</v>
      </c>
      <c r="F37" s="80">
        <f t="shared" si="0"/>
        <v>376231474</v>
      </c>
      <c r="G37" s="78">
        <v>230380910</v>
      </c>
      <c r="H37" s="79">
        <v>68454956</v>
      </c>
      <c r="I37" s="81">
        <f t="shared" si="1"/>
        <v>298835866</v>
      </c>
      <c r="J37" s="78">
        <v>31190782</v>
      </c>
      <c r="K37" s="79">
        <v>16931534</v>
      </c>
      <c r="L37" s="79">
        <f t="shared" si="2"/>
        <v>48122316</v>
      </c>
      <c r="M37" s="40">
        <f t="shared" si="3"/>
        <v>0.12790614110078413</v>
      </c>
      <c r="N37" s="106">
        <v>30104146</v>
      </c>
      <c r="O37" s="107">
        <v>20621109</v>
      </c>
      <c r="P37" s="108">
        <f t="shared" si="4"/>
        <v>50725255</v>
      </c>
      <c r="Q37" s="40">
        <f t="shared" si="5"/>
        <v>0.13482459205419906</v>
      </c>
      <c r="R37" s="106">
        <v>28494164</v>
      </c>
      <c r="S37" s="108">
        <v>18342751</v>
      </c>
      <c r="T37" s="108">
        <f t="shared" si="6"/>
        <v>46836915</v>
      </c>
      <c r="U37" s="40">
        <f t="shared" si="7"/>
        <v>0.15673123720698237</v>
      </c>
      <c r="V37" s="106">
        <v>0</v>
      </c>
      <c r="W37" s="108">
        <v>0</v>
      </c>
      <c r="X37" s="108">
        <f t="shared" si="8"/>
        <v>0</v>
      </c>
      <c r="Y37" s="40">
        <f t="shared" si="9"/>
        <v>0</v>
      </c>
      <c r="Z37" s="78">
        <f t="shared" si="10"/>
        <v>89789092</v>
      </c>
      <c r="AA37" s="79">
        <f t="shared" si="11"/>
        <v>55895394</v>
      </c>
      <c r="AB37" s="79">
        <f t="shared" si="12"/>
        <v>145684486</v>
      </c>
      <c r="AC37" s="40">
        <f t="shared" si="13"/>
        <v>0.48750669707096</v>
      </c>
      <c r="AD37" s="78">
        <v>53235961</v>
      </c>
      <c r="AE37" s="79">
        <v>554561</v>
      </c>
      <c r="AF37" s="79">
        <f t="shared" si="14"/>
        <v>53790522</v>
      </c>
      <c r="AG37" s="40">
        <f>IF(241641629=0,0,132711278/241641629)</f>
        <v>0.5492070159815055</v>
      </c>
      <c r="AH37" s="40">
        <f t="shared" si="15"/>
        <v>-0.1292719747170329</v>
      </c>
      <c r="AI37" s="12">
        <v>250371363</v>
      </c>
      <c r="AJ37" s="12">
        <v>241641629</v>
      </c>
      <c r="AK37" s="12">
        <v>132711278</v>
      </c>
      <c r="AL37" s="12"/>
    </row>
    <row r="38" spans="1:38" s="13" customFormat="1" ht="12.75">
      <c r="A38" s="29" t="s">
        <v>95</v>
      </c>
      <c r="B38" s="61" t="s">
        <v>433</v>
      </c>
      <c r="C38" s="39" t="s">
        <v>434</v>
      </c>
      <c r="D38" s="78">
        <v>340430917</v>
      </c>
      <c r="E38" s="79">
        <v>99981215</v>
      </c>
      <c r="F38" s="80">
        <f t="shared" si="0"/>
        <v>440412132</v>
      </c>
      <c r="G38" s="78">
        <v>348623838</v>
      </c>
      <c r="H38" s="79">
        <v>124454950</v>
      </c>
      <c r="I38" s="81">
        <f t="shared" si="1"/>
        <v>473078788</v>
      </c>
      <c r="J38" s="78">
        <v>78382348</v>
      </c>
      <c r="K38" s="79">
        <v>5619173</v>
      </c>
      <c r="L38" s="79">
        <f t="shared" si="2"/>
        <v>84001521</v>
      </c>
      <c r="M38" s="40">
        <f t="shared" si="3"/>
        <v>0.19073389422433076</v>
      </c>
      <c r="N38" s="106">
        <v>74797692</v>
      </c>
      <c r="O38" s="107">
        <v>36501834</v>
      </c>
      <c r="P38" s="108">
        <f t="shared" si="4"/>
        <v>111299526</v>
      </c>
      <c r="Q38" s="40">
        <f t="shared" si="5"/>
        <v>0.25271675758468887</v>
      </c>
      <c r="R38" s="106">
        <v>80861145</v>
      </c>
      <c r="S38" s="108">
        <v>25121237</v>
      </c>
      <c r="T38" s="108">
        <f t="shared" si="6"/>
        <v>105982382</v>
      </c>
      <c r="U38" s="40">
        <f t="shared" si="7"/>
        <v>0.2240269162099908</v>
      </c>
      <c r="V38" s="106">
        <v>0</v>
      </c>
      <c r="W38" s="108">
        <v>0</v>
      </c>
      <c r="X38" s="108">
        <f t="shared" si="8"/>
        <v>0</v>
      </c>
      <c r="Y38" s="40">
        <f t="shared" si="9"/>
        <v>0</v>
      </c>
      <c r="Z38" s="78">
        <f t="shared" si="10"/>
        <v>234041185</v>
      </c>
      <c r="AA38" s="79">
        <f t="shared" si="11"/>
        <v>67242244</v>
      </c>
      <c r="AB38" s="79">
        <f t="shared" si="12"/>
        <v>301283429</v>
      </c>
      <c r="AC38" s="40">
        <f t="shared" si="13"/>
        <v>0.6368567702511321</v>
      </c>
      <c r="AD38" s="78">
        <v>58064761</v>
      </c>
      <c r="AE38" s="79">
        <v>31210669</v>
      </c>
      <c r="AF38" s="79">
        <f t="shared" si="14"/>
        <v>89275430</v>
      </c>
      <c r="AG38" s="40">
        <f>IF(389170092=0,0,227724507/389170092)</f>
        <v>0.585154182403102</v>
      </c>
      <c r="AH38" s="40">
        <f t="shared" si="15"/>
        <v>0.18713941786670762</v>
      </c>
      <c r="AI38" s="12">
        <v>368786837</v>
      </c>
      <c r="AJ38" s="12">
        <v>389170092</v>
      </c>
      <c r="AK38" s="12">
        <v>227724507</v>
      </c>
      <c r="AL38" s="12"/>
    </row>
    <row r="39" spans="1:38" s="13" customFormat="1" ht="12.75">
      <c r="A39" s="29" t="s">
        <v>95</v>
      </c>
      <c r="B39" s="61" t="s">
        <v>435</v>
      </c>
      <c r="C39" s="39" t="s">
        <v>436</v>
      </c>
      <c r="D39" s="78">
        <v>228614603</v>
      </c>
      <c r="E39" s="79">
        <v>134040001</v>
      </c>
      <c r="F39" s="80">
        <f t="shared" si="0"/>
        <v>362654604</v>
      </c>
      <c r="G39" s="78">
        <v>254911412</v>
      </c>
      <c r="H39" s="79">
        <v>151140001</v>
      </c>
      <c r="I39" s="81">
        <f t="shared" si="1"/>
        <v>406051413</v>
      </c>
      <c r="J39" s="78">
        <v>45997033</v>
      </c>
      <c r="K39" s="79">
        <v>44629489</v>
      </c>
      <c r="L39" s="79">
        <f t="shared" si="2"/>
        <v>90626522</v>
      </c>
      <c r="M39" s="40">
        <f t="shared" si="3"/>
        <v>0.2498976188373442</v>
      </c>
      <c r="N39" s="106">
        <v>46886745</v>
      </c>
      <c r="O39" s="107">
        <v>45581060</v>
      </c>
      <c r="P39" s="108">
        <f t="shared" si="4"/>
        <v>92467805</v>
      </c>
      <c r="Q39" s="40">
        <f t="shared" si="5"/>
        <v>0.25497485480702736</v>
      </c>
      <c r="R39" s="106">
        <v>53019026</v>
      </c>
      <c r="S39" s="108">
        <v>12414346</v>
      </c>
      <c r="T39" s="108">
        <f t="shared" si="6"/>
        <v>65433372</v>
      </c>
      <c r="U39" s="40">
        <f t="shared" si="7"/>
        <v>0.16114553454342984</v>
      </c>
      <c r="V39" s="106">
        <v>0</v>
      </c>
      <c r="W39" s="108">
        <v>0</v>
      </c>
      <c r="X39" s="108">
        <f t="shared" si="8"/>
        <v>0</v>
      </c>
      <c r="Y39" s="40">
        <f t="shared" si="9"/>
        <v>0</v>
      </c>
      <c r="Z39" s="78">
        <f t="shared" si="10"/>
        <v>145902804</v>
      </c>
      <c r="AA39" s="79">
        <f t="shared" si="11"/>
        <v>102624895</v>
      </c>
      <c r="AB39" s="79">
        <f t="shared" si="12"/>
        <v>248527699</v>
      </c>
      <c r="AC39" s="40">
        <f t="shared" si="13"/>
        <v>0.6120596826983582</v>
      </c>
      <c r="AD39" s="78">
        <v>42366151</v>
      </c>
      <c r="AE39" s="79">
        <v>19674785</v>
      </c>
      <c r="AF39" s="79">
        <f t="shared" si="14"/>
        <v>62040936</v>
      </c>
      <c r="AG39" s="40">
        <f>IF(374487177=0,0,184254365/374487177)</f>
        <v>0.4920178214807072</v>
      </c>
      <c r="AH39" s="40">
        <f t="shared" si="15"/>
        <v>0.05468060636609362</v>
      </c>
      <c r="AI39" s="12">
        <v>347536838</v>
      </c>
      <c r="AJ39" s="12">
        <v>374487177</v>
      </c>
      <c r="AK39" s="12">
        <v>184254365</v>
      </c>
      <c r="AL39" s="12"/>
    </row>
    <row r="40" spans="1:38" s="13" customFormat="1" ht="12.75">
      <c r="A40" s="29" t="s">
        <v>95</v>
      </c>
      <c r="B40" s="61" t="s">
        <v>437</v>
      </c>
      <c r="C40" s="39" t="s">
        <v>438</v>
      </c>
      <c r="D40" s="78">
        <v>102346945</v>
      </c>
      <c r="E40" s="79">
        <v>26521000</v>
      </c>
      <c r="F40" s="80">
        <f t="shared" si="0"/>
        <v>128867945</v>
      </c>
      <c r="G40" s="78">
        <v>94183745</v>
      </c>
      <c r="H40" s="79">
        <v>45094550</v>
      </c>
      <c r="I40" s="81">
        <f t="shared" si="1"/>
        <v>139278295</v>
      </c>
      <c r="J40" s="78">
        <v>18686453</v>
      </c>
      <c r="K40" s="79">
        <v>6093543</v>
      </c>
      <c r="L40" s="79">
        <f t="shared" si="2"/>
        <v>24779996</v>
      </c>
      <c r="M40" s="40">
        <f t="shared" si="3"/>
        <v>0.19228983592467466</v>
      </c>
      <c r="N40" s="106">
        <v>14956005</v>
      </c>
      <c r="O40" s="107">
        <v>2890972</v>
      </c>
      <c r="P40" s="108">
        <f t="shared" si="4"/>
        <v>17846977</v>
      </c>
      <c r="Q40" s="40">
        <f t="shared" si="5"/>
        <v>0.1384904290977869</v>
      </c>
      <c r="R40" s="106">
        <v>0</v>
      </c>
      <c r="S40" s="108">
        <v>0</v>
      </c>
      <c r="T40" s="108">
        <f t="shared" si="6"/>
        <v>0</v>
      </c>
      <c r="U40" s="40">
        <f t="shared" si="7"/>
        <v>0</v>
      </c>
      <c r="V40" s="106">
        <v>0</v>
      </c>
      <c r="W40" s="108">
        <v>0</v>
      </c>
      <c r="X40" s="108">
        <f t="shared" si="8"/>
        <v>0</v>
      </c>
      <c r="Y40" s="40">
        <f t="shared" si="9"/>
        <v>0</v>
      </c>
      <c r="Z40" s="78">
        <f t="shared" si="10"/>
        <v>33642458</v>
      </c>
      <c r="AA40" s="79">
        <f t="shared" si="11"/>
        <v>8984515</v>
      </c>
      <c r="AB40" s="79">
        <f t="shared" si="12"/>
        <v>42626973</v>
      </c>
      <c r="AC40" s="40">
        <f t="shared" si="13"/>
        <v>0.30605610874257183</v>
      </c>
      <c r="AD40" s="78">
        <v>23725447</v>
      </c>
      <c r="AE40" s="79">
        <v>13325377</v>
      </c>
      <c r="AF40" s="79">
        <f t="shared" si="14"/>
        <v>37050824</v>
      </c>
      <c r="AG40" s="40">
        <f>IF(116267619=0,0,83205474/116267619)</f>
        <v>0.7156375499527516</v>
      </c>
      <c r="AH40" s="40">
        <f t="shared" si="15"/>
        <v>-1</v>
      </c>
      <c r="AI40" s="12">
        <v>111920747</v>
      </c>
      <c r="AJ40" s="12">
        <v>116267619</v>
      </c>
      <c r="AK40" s="12">
        <v>83205474</v>
      </c>
      <c r="AL40" s="12"/>
    </row>
    <row r="41" spans="1:38" s="13" customFormat="1" ht="12.75">
      <c r="A41" s="29" t="s">
        <v>95</v>
      </c>
      <c r="B41" s="61" t="s">
        <v>439</v>
      </c>
      <c r="C41" s="39" t="s">
        <v>440</v>
      </c>
      <c r="D41" s="78">
        <v>528521657</v>
      </c>
      <c r="E41" s="79">
        <v>0</v>
      </c>
      <c r="F41" s="80">
        <f t="shared" si="0"/>
        <v>528521657</v>
      </c>
      <c r="G41" s="78">
        <v>304075214</v>
      </c>
      <c r="H41" s="79">
        <v>372199949</v>
      </c>
      <c r="I41" s="81">
        <f t="shared" si="1"/>
        <v>676275163</v>
      </c>
      <c r="J41" s="78">
        <v>52295252</v>
      </c>
      <c r="K41" s="79">
        <v>2910255</v>
      </c>
      <c r="L41" s="79">
        <f t="shared" si="2"/>
        <v>55205507</v>
      </c>
      <c r="M41" s="40">
        <f t="shared" si="3"/>
        <v>0.10445268660012545</v>
      </c>
      <c r="N41" s="106">
        <v>57576391</v>
      </c>
      <c r="O41" s="107">
        <v>16603055</v>
      </c>
      <c r="P41" s="108">
        <f t="shared" si="4"/>
        <v>74179446</v>
      </c>
      <c r="Q41" s="40">
        <f t="shared" si="5"/>
        <v>0.14035270838485242</v>
      </c>
      <c r="R41" s="106">
        <v>55981901</v>
      </c>
      <c r="S41" s="108">
        <v>103310321</v>
      </c>
      <c r="T41" s="108">
        <f t="shared" si="6"/>
        <v>159292222</v>
      </c>
      <c r="U41" s="40">
        <f t="shared" si="7"/>
        <v>0.2355435046488614</v>
      </c>
      <c r="V41" s="106">
        <v>0</v>
      </c>
      <c r="W41" s="108">
        <v>0</v>
      </c>
      <c r="X41" s="108">
        <f t="shared" si="8"/>
        <v>0</v>
      </c>
      <c r="Y41" s="40">
        <f t="shared" si="9"/>
        <v>0</v>
      </c>
      <c r="Z41" s="78">
        <f t="shared" si="10"/>
        <v>165853544</v>
      </c>
      <c r="AA41" s="79">
        <f t="shared" si="11"/>
        <v>122823631</v>
      </c>
      <c r="AB41" s="79">
        <f t="shared" si="12"/>
        <v>288677175</v>
      </c>
      <c r="AC41" s="40">
        <f t="shared" si="13"/>
        <v>0.426863488109499</v>
      </c>
      <c r="AD41" s="78">
        <v>37938101</v>
      </c>
      <c r="AE41" s="79">
        <v>9043050</v>
      </c>
      <c r="AF41" s="79">
        <f t="shared" si="14"/>
        <v>46981151</v>
      </c>
      <c r="AG41" s="40">
        <f>IF(544141759=0,0,176543721/544141759)</f>
        <v>0.3244443531120353</v>
      </c>
      <c r="AH41" s="40">
        <f t="shared" si="15"/>
        <v>2.3905559699889003</v>
      </c>
      <c r="AI41" s="12">
        <v>544141759</v>
      </c>
      <c r="AJ41" s="12">
        <v>544141759</v>
      </c>
      <c r="AK41" s="12">
        <v>176543721</v>
      </c>
      <c r="AL41" s="12"/>
    </row>
    <row r="42" spans="1:38" s="13" customFormat="1" ht="12.75">
      <c r="A42" s="29" t="s">
        <v>114</v>
      </c>
      <c r="B42" s="61" t="s">
        <v>441</v>
      </c>
      <c r="C42" s="39" t="s">
        <v>442</v>
      </c>
      <c r="D42" s="78">
        <v>707525747</v>
      </c>
      <c r="E42" s="79">
        <v>1077466000</v>
      </c>
      <c r="F42" s="80">
        <f t="shared" si="0"/>
        <v>1784991747</v>
      </c>
      <c r="G42" s="78">
        <v>707525747</v>
      </c>
      <c r="H42" s="79">
        <v>1077466000</v>
      </c>
      <c r="I42" s="81">
        <f t="shared" si="1"/>
        <v>1784991747</v>
      </c>
      <c r="J42" s="78">
        <v>146319279</v>
      </c>
      <c r="K42" s="79">
        <v>17845074</v>
      </c>
      <c r="L42" s="79">
        <f t="shared" si="2"/>
        <v>164164353</v>
      </c>
      <c r="M42" s="40">
        <f t="shared" si="3"/>
        <v>0.09196925043261839</v>
      </c>
      <c r="N42" s="106">
        <v>253674702</v>
      </c>
      <c r="O42" s="107">
        <v>99692061</v>
      </c>
      <c r="P42" s="108">
        <f t="shared" si="4"/>
        <v>353366763</v>
      </c>
      <c r="Q42" s="40">
        <f t="shared" si="5"/>
        <v>0.19796548840850187</v>
      </c>
      <c r="R42" s="106">
        <v>215117020</v>
      </c>
      <c r="S42" s="108">
        <v>78219756</v>
      </c>
      <c r="T42" s="108">
        <f t="shared" si="6"/>
        <v>293336776</v>
      </c>
      <c r="U42" s="40">
        <f t="shared" si="7"/>
        <v>0.16433508809942973</v>
      </c>
      <c r="V42" s="106">
        <v>0</v>
      </c>
      <c r="W42" s="108">
        <v>0</v>
      </c>
      <c r="X42" s="108">
        <f t="shared" si="8"/>
        <v>0</v>
      </c>
      <c r="Y42" s="40">
        <f t="shared" si="9"/>
        <v>0</v>
      </c>
      <c r="Z42" s="78">
        <f t="shared" si="10"/>
        <v>615111001</v>
      </c>
      <c r="AA42" s="79">
        <f t="shared" si="11"/>
        <v>195756891</v>
      </c>
      <c r="AB42" s="79">
        <f t="shared" si="12"/>
        <v>810867892</v>
      </c>
      <c r="AC42" s="40">
        <f t="shared" si="13"/>
        <v>0.45426982694055</v>
      </c>
      <c r="AD42" s="78">
        <v>228804969</v>
      </c>
      <c r="AE42" s="79">
        <v>59238828</v>
      </c>
      <c r="AF42" s="79">
        <f t="shared" si="14"/>
        <v>288043797</v>
      </c>
      <c r="AG42" s="40">
        <f>IF(1669566806=0,0,620597604/1669566806)</f>
        <v>0.37171175287489516</v>
      </c>
      <c r="AH42" s="40">
        <f t="shared" si="15"/>
        <v>0.018375604873726914</v>
      </c>
      <c r="AI42" s="12">
        <v>1696900088</v>
      </c>
      <c r="AJ42" s="12">
        <v>1669566806</v>
      </c>
      <c r="AK42" s="12">
        <v>620597604</v>
      </c>
      <c r="AL42" s="12"/>
    </row>
    <row r="43" spans="1:38" s="57" customFormat="1" ht="12.75">
      <c r="A43" s="62"/>
      <c r="B43" s="63" t="s">
        <v>443</v>
      </c>
      <c r="C43" s="32"/>
      <c r="D43" s="82">
        <f>SUM(D37:D42)</f>
        <v>2212856130</v>
      </c>
      <c r="E43" s="83">
        <f>SUM(E37:E42)</f>
        <v>1408823429</v>
      </c>
      <c r="F43" s="84">
        <f t="shared" si="0"/>
        <v>3621679559</v>
      </c>
      <c r="G43" s="82">
        <f>SUM(G37:G42)</f>
        <v>1939700866</v>
      </c>
      <c r="H43" s="83">
        <f>SUM(H37:H42)</f>
        <v>1838810406</v>
      </c>
      <c r="I43" s="91">
        <f t="shared" si="1"/>
        <v>3778511272</v>
      </c>
      <c r="J43" s="82">
        <f>SUM(J37:J42)</f>
        <v>372871147</v>
      </c>
      <c r="K43" s="93">
        <f>SUM(K37:K42)</f>
        <v>94029068</v>
      </c>
      <c r="L43" s="83">
        <f t="shared" si="2"/>
        <v>466900215</v>
      </c>
      <c r="M43" s="44">
        <f t="shared" si="3"/>
        <v>0.12891814623404124</v>
      </c>
      <c r="N43" s="112">
        <f>SUM(N37:N42)</f>
        <v>477995681</v>
      </c>
      <c r="O43" s="113">
        <f>SUM(O37:O42)</f>
        <v>221890091</v>
      </c>
      <c r="P43" s="114">
        <f t="shared" si="4"/>
        <v>699885772</v>
      </c>
      <c r="Q43" s="44">
        <f t="shared" si="5"/>
        <v>0.19324894999635167</v>
      </c>
      <c r="R43" s="112">
        <f>SUM(R37:R42)</f>
        <v>433473256</v>
      </c>
      <c r="S43" s="114">
        <f>SUM(S37:S42)</f>
        <v>237408411</v>
      </c>
      <c r="T43" s="114">
        <f t="shared" si="6"/>
        <v>670881667</v>
      </c>
      <c r="U43" s="44">
        <f t="shared" si="7"/>
        <v>0.17755185010865307</v>
      </c>
      <c r="V43" s="112">
        <f>SUM(V37:V42)</f>
        <v>0</v>
      </c>
      <c r="W43" s="114">
        <f>SUM(W37:W42)</f>
        <v>0</v>
      </c>
      <c r="X43" s="114">
        <f t="shared" si="8"/>
        <v>0</v>
      </c>
      <c r="Y43" s="44">
        <f t="shared" si="9"/>
        <v>0</v>
      </c>
      <c r="Z43" s="82">
        <f t="shared" si="10"/>
        <v>1284340084</v>
      </c>
      <c r="AA43" s="83">
        <f t="shared" si="11"/>
        <v>553327570</v>
      </c>
      <c r="AB43" s="83">
        <f t="shared" si="12"/>
        <v>1837667654</v>
      </c>
      <c r="AC43" s="44">
        <f t="shared" si="13"/>
        <v>0.4863470085739101</v>
      </c>
      <c r="AD43" s="82">
        <f>SUM(AD37:AD42)</f>
        <v>444135390</v>
      </c>
      <c r="AE43" s="83">
        <f>SUM(AE37:AE42)</f>
        <v>133047270</v>
      </c>
      <c r="AF43" s="83">
        <f t="shared" si="14"/>
        <v>577182660</v>
      </c>
      <c r="AG43" s="44">
        <f>IF(1669566806=0,0,620597604/1669566806)</f>
        <v>0.37171175287489516</v>
      </c>
      <c r="AH43" s="44">
        <f t="shared" si="15"/>
        <v>0.16233856886830256</v>
      </c>
      <c r="AI43" s="64">
        <f>SUM(AI37:AI42)</f>
        <v>3319657632</v>
      </c>
      <c r="AJ43" s="64">
        <f>SUM(AJ37:AJ42)</f>
        <v>3335275082</v>
      </c>
      <c r="AK43" s="64">
        <f>SUM(AK37:AK42)</f>
        <v>1425036949</v>
      </c>
      <c r="AL43" s="64"/>
    </row>
    <row r="44" spans="1:38" s="57" customFormat="1" ht="12.75">
      <c r="A44" s="62"/>
      <c r="B44" s="63" t="s">
        <v>444</v>
      </c>
      <c r="C44" s="32"/>
      <c r="D44" s="82">
        <f>SUM(D9:D14,D16:D20,D22:D27,D29:D35,D37:D42)</f>
        <v>14130202337</v>
      </c>
      <c r="E44" s="83">
        <f>SUM(E9:E14,E16:E20,E22:E27,E29:E35,E37:E42)</f>
        <v>5713799722</v>
      </c>
      <c r="F44" s="84">
        <f t="shared" si="0"/>
        <v>19844002059</v>
      </c>
      <c r="G44" s="82">
        <f>SUM(G9:G14,G16:G20,G22:G27,G29:G35,G37:G42)</f>
        <v>13914690293</v>
      </c>
      <c r="H44" s="83">
        <f>SUM(H9:H14,H16:H20,H22:H27,H29:H35,H37:H42)</f>
        <v>6316822319</v>
      </c>
      <c r="I44" s="91">
        <f t="shared" si="1"/>
        <v>20231512612</v>
      </c>
      <c r="J44" s="82">
        <f>SUM(J9:J14,J16:J20,J22:J27,J29:J35,J37:J42)</f>
        <v>2562369237</v>
      </c>
      <c r="K44" s="93">
        <f>SUM(K9:K14,K16:K20,K22:K27,K29:K35,K37:K42)</f>
        <v>595080923</v>
      </c>
      <c r="L44" s="83">
        <f t="shared" si="2"/>
        <v>3157450160</v>
      </c>
      <c r="M44" s="44">
        <f t="shared" si="3"/>
        <v>0.15911357752394395</v>
      </c>
      <c r="N44" s="112">
        <f>SUM(N9:N14,N16:N20,N22:N27,N29:N35,N37:N42)</f>
        <v>2856868960</v>
      </c>
      <c r="O44" s="113">
        <f>SUM(O9:O14,O16:O20,O22:O27,O29:O35,O37:O42)</f>
        <v>1022291238</v>
      </c>
      <c r="P44" s="114">
        <f t="shared" si="4"/>
        <v>3879160198</v>
      </c>
      <c r="Q44" s="44">
        <f t="shared" si="5"/>
        <v>0.19548275526612613</v>
      </c>
      <c r="R44" s="112">
        <f>SUM(R9:R14,R16:R20,R22:R27,R29:R35,R37:R42)</f>
        <v>2605005345</v>
      </c>
      <c r="S44" s="114">
        <f>SUM(S9:S14,S16:S20,S22:S27,S29:S35,S37:S42)</f>
        <v>868093827</v>
      </c>
      <c r="T44" s="114">
        <f t="shared" si="6"/>
        <v>3473099172</v>
      </c>
      <c r="U44" s="44">
        <f t="shared" si="7"/>
        <v>0.1716677956120783</v>
      </c>
      <c r="V44" s="112">
        <f>SUM(V9:V14,V16:V20,V22:V27,V29:V35,V37:V42)</f>
        <v>0</v>
      </c>
      <c r="W44" s="114">
        <f>SUM(W9:W14,W16:W20,W22:W27,W29:W35,W37:W42)</f>
        <v>0</v>
      </c>
      <c r="X44" s="114">
        <f t="shared" si="8"/>
        <v>0</v>
      </c>
      <c r="Y44" s="44">
        <f t="shared" si="9"/>
        <v>0</v>
      </c>
      <c r="Z44" s="82">
        <f t="shared" si="10"/>
        <v>8024243542</v>
      </c>
      <c r="AA44" s="83">
        <f t="shared" si="11"/>
        <v>2485465988</v>
      </c>
      <c r="AB44" s="83">
        <f t="shared" si="12"/>
        <v>10509709530</v>
      </c>
      <c r="AC44" s="44">
        <f t="shared" si="13"/>
        <v>0.5194722575397716</v>
      </c>
      <c r="AD44" s="82">
        <f>SUM(AD9:AD14,AD16:AD20,AD22:AD27,AD29:AD35,AD37:AD42)</f>
        <v>2558464462</v>
      </c>
      <c r="AE44" s="83">
        <f>SUM(AE9:AE14,AE16:AE20,AE22:AE27,AE29:AE35,AE37:AE42)</f>
        <v>715932375</v>
      </c>
      <c r="AF44" s="83">
        <f t="shared" si="14"/>
        <v>3274396837</v>
      </c>
      <c r="AG44" s="44">
        <f>IF(1669566806=0,0,620597604/1669566806)</f>
        <v>0.37171175287489516</v>
      </c>
      <c r="AH44" s="44">
        <f t="shared" si="15"/>
        <v>0.06068364492498435</v>
      </c>
      <c r="AI44" s="64">
        <f>SUM(AI9:AI14,AI16:AI20,AI22:AI27,AI29:AI35,AI37:AI42)</f>
        <v>18200699604</v>
      </c>
      <c r="AJ44" s="64">
        <f>SUM(AJ9:AJ14,AJ16:AJ20,AJ22:AJ27,AJ29:AJ35,AJ37:AJ42)</f>
        <v>18781821911</v>
      </c>
      <c r="AK44" s="64">
        <f>SUM(AK9:AK14,AK16:AK20,AK22:AK27,AK29:AK35,AK37:AK42)</f>
        <v>9436708870</v>
      </c>
      <c r="AL44" s="64"/>
    </row>
    <row r="45" spans="1:38" s="13" customFormat="1" ht="12.75">
      <c r="A45" s="65"/>
      <c r="B45" s="66"/>
      <c r="C45" s="67"/>
      <c r="D45" s="94"/>
      <c r="E45" s="94"/>
      <c r="F45" s="95"/>
      <c r="G45" s="96"/>
      <c r="H45" s="94"/>
      <c r="I45" s="97"/>
      <c r="J45" s="96"/>
      <c r="K45" s="98"/>
      <c r="L45" s="94"/>
      <c r="M45" s="71"/>
      <c r="N45" s="96"/>
      <c r="O45" s="98"/>
      <c r="P45" s="94"/>
      <c r="Q45" s="71"/>
      <c r="R45" s="96"/>
      <c r="S45" s="98"/>
      <c r="T45" s="94"/>
      <c r="U45" s="71"/>
      <c r="V45" s="96"/>
      <c r="W45" s="98"/>
      <c r="X45" s="94"/>
      <c r="Y45" s="71"/>
      <c r="Z45" s="96"/>
      <c r="AA45" s="98"/>
      <c r="AB45" s="94"/>
      <c r="AC45" s="71"/>
      <c r="AD45" s="96"/>
      <c r="AE45" s="94"/>
      <c r="AF45" s="94"/>
      <c r="AG45" s="71"/>
      <c r="AH45" s="71"/>
      <c r="AI45" s="12"/>
      <c r="AJ45" s="12"/>
      <c r="AK45" s="12"/>
      <c r="AL45" s="12"/>
    </row>
    <row r="46" spans="1:38" s="74" customFormat="1" ht="12.75">
      <c r="A46" s="76"/>
      <c r="B46" s="76"/>
      <c r="C46" s="76"/>
      <c r="D46" s="99"/>
      <c r="E46" s="99"/>
      <c r="F46" s="99"/>
      <c r="G46" s="99"/>
      <c r="H46" s="99"/>
      <c r="I46" s="99"/>
      <c r="J46" s="99"/>
      <c r="K46" s="99"/>
      <c r="L46" s="99"/>
      <c r="M46" s="76"/>
      <c r="N46" s="99"/>
      <c r="O46" s="99"/>
      <c r="P46" s="99"/>
      <c r="Q46" s="76"/>
      <c r="R46" s="99"/>
      <c r="S46" s="99"/>
      <c r="T46" s="99"/>
      <c r="U46" s="76"/>
      <c r="V46" s="99"/>
      <c r="W46" s="99"/>
      <c r="X46" s="99"/>
      <c r="Y46" s="76"/>
      <c r="Z46" s="99"/>
      <c r="AA46" s="99"/>
      <c r="AB46" s="99"/>
      <c r="AC46" s="76"/>
      <c r="AD46" s="99"/>
      <c r="AE46" s="99"/>
      <c r="AF46" s="99"/>
      <c r="AG46" s="76"/>
      <c r="AH46" s="76"/>
      <c r="AI46" s="76"/>
      <c r="AJ46" s="76"/>
      <c r="AK46" s="76"/>
      <c r="AL46" s="76"/>
    </row>
    <row r="47" spans="1:38" s="75" customFormat="1" ht="12.75">
      <c r="A47" s="77"/>
      <c r="B47" s="77"/>
      <c r="C47" s="77"/>
      <c r="D47" s="100"/>
      <c r="E47" s="100"/>
      <c r="F47" s="100"/>
      <c r="G47" s="100"/>
      <c r="H47" s="100"/>
      <c r="I47" s="100"/>
      <c r="J47" s="100"/>
      <c r="K47" s="100"/>
      <c r="L47" s="100"/>
      <c r="M47" s="77"/>
      <c r="N47" s="100"/>
      <c r="O47" s="100"/>
      <c r="P47" s="100"/>
      <c r="Q47" s="77"/>
      <c r="R47" s="100"/>
      <c r="S47" s="100"/>
      <c r="T47" s="100"/>
      <c r="U47" s="77"/>
      <c r="V47" s="100"/>
      <c r="W47" s="100"/>
      <c r="X47" s="100"/>
      <c r="Y47" s="77"/>
      <c r="Z47" s="100"/>
      <c r="AA47" s="100"/>
      <c r="AB47" s="100"/>
      <c r="AC47" s="77"/>
      <c r="AD47" s="100"/>
      <c r="AE47" s="100"/>
      <c r="AF47" s="100"/>
      <c r="AG47" s="77"/>
      <c r="AH47" s="77"/>
      <c r="AI47" s="77"/>
      <c r="AJ47" s="77"/>
      <c r="AK47" s="77"/>
      <c r="AL47" s="77"/>
    </row>
    <row r="48" spans="1:38" s="75" customFormat="1" ht="12.75">
      <c r="A48" s="77"/>
      <c r="B48" s="77"/>
      <c r="C48" s="77"/>
      <c r="D48" s="100"/>
      <c r="E48" s="100"/>
      <c r="F48" s="100"/>
      <c r="G48" s="100"/>
      <c r="H48" s="100"/>
      <c r="I48" s="100"/>
      <c r="J48" s="100"/>
      <c r="K48" s="100"/>
      <c r="L48" s="100"/>
      <c r="M48" s="77"/>
      <c r="N48" s="100"/>
      <c r="O48" s="100"/>
      <c r="P48" s="100"/>
      <c r="Q48" s="77"/>
      <c r="R48" s="100"/>
      <c r="S48" s="100"/>
      <c r="T48" s="100"/>
      <c r="U48" s="77"/>
      <c r="V48" s="100"/>
      <c r="W48" s="100"/>
      <c r="X48" s="100"/>
      <c r="Y48" s="77"/>
      <c r="Z48" s="100"/>
      <c r="AA48" s="100"/>
      <c r="AB48" s="100"/>
      <c r="AC48" s="77"/>
      <c r="AD48" s="100"/>
      <c r="AE48" s="100"/>
      <c r="AF48" s="100"/>
      <c r="AG48" s="77"/>
      <c r="AH48" s="77"/>
      <c r="AI48" s="77"/>
      <c r="AJ48" s="77"/>
      <c r="AK48" s="77"/>
      <c r="AL48" s="77"/>
    </row>
    <row r="49" spans="1:38" s="75" customFormat="1" ht="12.75">
      <c r="A49" s="77"/>
      <c r="B49" s="77"/>
      <c r="C49" s="77"/>
      <c r="D49" s="100"/>
      <c r="E49" s="100"/>
      <c r="F49" s="100"/>
      <c r="G49" s="100"/>
      <c r="H49" s="100"/>
      <c r="I49" s="100"/>
      <c r="J49" s="100"/>
      <c r="K49" s="100"/>
      <c r="L49" s="100"/>
      <c r="M49" s="77"/>
      <c r="N49" s="100"/>
      <c r="O49" s="100"/>
      <c r="P49" s="100"/>
      <c r="Q49" s="77"/>
      <c r="R49" s="100"/>
      <c r="S49" s="100"/>
      <c r="T49" s="100"/>
      <c r="U49" s="77"/>
      <c r="V49" s="100"/>
      <c r="W49" s="100"/>
      <c r="X49" s="100"/>
      <c r="Y49" s="77"/>
      <c r="Z49" s="100"/>
      <c r="AA49" s="100"/>
      <c r="AB49" s="100"/>
      <c r="AC49" s="77"/>
      <c r="AD49" s="100"/>
      <c r="AE49" s="100"/>
      <c r="AF49" s="100"/>
      <c r="AG49" s="77"/>
      <c r="AH49" s="77"/>
      <c r="AI49" s="77"/>
      <c r="AJ49" s="77"/>
      <c r="AK49" s="77"/>
      <c r="AL49" s="77"/>
    </row>
    <row r="50" spans="1:38" s="75" customFormat="1" ht="12.75">
      <c r="A50" s="77"/>
      <c r="B50" s="77"/>
      <c r="C50" s="77"/>
      <c r="D50" s="100"/>
      <c r="E50" s="100"/>
      <c r="F50" s="100"/>
      <c r="G50" s="100"/>
      <c r="H50" s="100"/>
      <c r="I50" s="100"/>
      <c r="J50" s="100"/>
      <c r="K50" s="100"/>
      <c r="L50" s="100"/>
      <c r="M50" s="77"/>
      <c r="N50" s="100"/>
      <c r="O50" s="100"/>
      <c r="P50" s="100"/>
      <c r="Q50" s="77"/>
      <c r="R50" s="100"/>
      <c r="S50" s="100"/>
      <c r="T50" s="100"/>
      <c r="U50" s="77"/>
      <c r="V50" s="100"/>
      <c r="W50" s="100"/>
      <c r="X50" s="100"/>
      <c r="Y50" s="77"/>
      <c r="Z50" s="100"/>
      <c r="AA50" s="100"/>
      <c r="AB50" s="100"/>
      <c r="AC50" s="77"/>
      <c r="AD50" s="100"/>
      <c r="AE50" s="100"/>
      <c r="AF50" s="100"/>
      <c r="AG50" s="77"/>
      <c r="AH50" s="77"/>
      <c r="AI50" s="77"/>
      <c r="AJ50" s="77"/>
      <c r="AK50" s="77"/>
      <c r="AL50" s="77"/>
    </row>
    <row r="51" spans="1:38" s="75" customFormat="1" ht="12.75">
      <c r="A51" s="77"/>
      <c r="B51" s="77"/>
      <c r="C51" s="77"/>
      <c r="D51" s="100"/>
      <c r="E51" s="100"/>
      <c r="F51" s="100"/>
      <c r="G51" s="100"/>
      <c r="H51" s="100"/>
      <c r="I51" s="100"/>
      <c r="J51" s="100"/>
      <c r="K51" s="100"/>
      <c r="L51" s="100"/>
      <c r="M51" s="77"/>
      <c r="N51" s="100"/>
      <c r="O51" s="100"/>
      <c r="P51" s="100"/>
      <c r="Q51" s="77"/>
      <c r="R51" s="100"/>
      <c r="S51" s="100"/>
      <c r="T51" s="100"/>
      <c r="U51" s="77"/>
      <c r="V51" s="100"/>
      <c r="W51" s="100"/>
      <c r="X51" s="100"/>
      <c r="Y51" s="77"/>
      <c r="Z51" s="100"/>
      <c r="AA51" s="100"/>
      <c r="AB51" s="100"/>
      <c r="AC51" s="77"/>
      <c r="AD51" s="100"/>
      <c r="AE51" s="100"/>
      <c r="AF51" s="100"/>
      <c r="AG51" s="77"/>
      <c r="AH51" s="77"/>
      <c r="AI51" s="77"/>
      <c r="AJ51" s="77"/>
      <c r="AK51" s="77"/>
      <c r="AL51" s="77"/>
    </row>
    <row r="52" spans="1:38" s="75" customFormat="1" ht="12.75">
      <c r="A52" s="77"/>
      <c r="B52" s="77"/>
      <c r="C52" s="77"/>
      <c r="D52" s="100"/>
      <c r="E52" s="100"/>
      <c r="F52" s="100"/>
      <c r="G52" s="100"/>
      <c r="H52" s="100"/>
      <c r="I52" s="100"/>
      <c r="J52" s="100"/>
      <c r="K52" s="100"/>
      <c r="L52" s="100"/>
      <c r="M52" s="77"/>
      <c r="N52" s="100"/>
      <c r="O52" s="100"/>
      <c r="P52" s="100"/>
      <c r="Q52" s="77"/>
      <c r="R52" s="100"/>
      <c r="S52" s="100"/>
      <c r="T52" s="100"/>
      <c r="U52" s="77"/>
      <c r="V52" s="100"/>
      <c r="W52" s="100"/>
      <c r="X52" s="100"/>
      <c r="Y52" s="77"/>
      <c r="Z52" s="100"/>
      <c r="AA52" s="100"/>
      <c r="AB52" s="100"/>
      <c r="AC52" s="77"/>
      <c r="AD52" s="100"/>
      <c r="AE52" s="100"/>
      <c r="AF52" s="100"/>
      <c r="AG52" s="77"/>
      <c r="AH52" s="77"/>
      <c r="AI52" s="77"/>
      <c r="AJ52" s="77"/>
      <c r="AK52" s="77"/>
      <c r="AL52" s="77"/>
    </row>
    <row r="53" spans="1:38" s="75" customFormat="1" ht="12.75">
      <c r="A53" s="77"/>
      <c r="B53" s="77"/>
      <c r="C53" s="77"/>
      <c r="D53" s="100"/>
      <c r="E53" s="100"/>
      <c r="F53" s="100"/>
      <c r="G53" s="100"/>
      <c r="H53" s="100"/>
      <c r="I53" s="100"/>
      <c r="J53" s="100"/>
      <c r="K53" s="100"/>
      <c r="L53" s="100"/>
      <c r="M53" s="77"/>
      <c r="N53" s="100"/>
      <c r="O53" s="100"/>
      <c r="P53" s="100"/>
      <c r="Q53" s="77"/>
      <c r="R53" s="100"/>
      <c r="S53" s="100"/>
      <c r="T53" s="100"/>
      <c r="U53" s="77"/>
      <c r="V53" s="100"/>
      <c r="W53" s="100"/>
      <c r="X53" s="100"/>
      <c r="Y53" s="77"/>
      <c r="Z53" s="100"/>
      <c r="AA53" s="100"/>
      <c r="AB53" s="100"/>
      <c r="AC53" s="77"/>
      <c r="AD53" s="100"/>
      <c r="AE53" s="100"/>
      <c r="AF53" s="100"/>
      <c r="AG53" s="77"/>
      <c r="AH53" s="77"/>
      <c r="AI53" s="77"/>
      <c r="AJ53" s="77"/>
      <c r="AK53" s="77"/>
      <c r="AL53" s="77"/>
    </row>
    <row r="54" spans="1:38" s="75" customFormat="1" ht="12.75">
      <c r="A54" s="77"/>
      <c r="B54" s="77"/>
      <c r="C54" s="77"/>
      <c r="D54" s="100"/>
      <c r="E54" s="100"/>
      <c r="F54" s="100"/>
      <c r="G54" s="100"/>
      <c r="H54" s="100"/>
      <c r="I54" s="100"/>
      <c r="J54" s="100"/>
      <c r="K54" s="100"/>
      <c r="L54" s="100"/>
      <c r="M54" s="77"/>
      <c r="N54" s="100"/>
      <c r="O54" s="100"/>
      <c r="P54" s="100"/>
      <c r="Q54" s="77"/>
      <c r="R54" s="100"/>
      <c r="S54" s="100"/>
      <c r="T54" s="100"/>
      <c r="U54" s="77"/>
      <c r="V54" s="100"/>
      <c r="W54" s="100"/>
      <c r="X54" s="100"/>
      <c r="Y54" s="77"/>
      <c r="Z54" s="100"/>
      <c r="AA54" s="100"/>
      <c r="AB54" s="100"/>
      <c r="AC54" s="77"/>
      <c r="AD54" s="100"/>
      <c r="AE54" s="100"/>
      <c r="AF54" s="100"/>
      <c r="AG54" s="77"/>
      <c r="AH54" s="77"/>
      <c r="AI54" s="77"/>
      <c r="AJ54" s="77"/>
      <c r="AK54" s="77"/>
      <c r="AL54" s="77"/>
    </row>
    <row r="55" spans="1:38" s="75" customFormat="1" ht="12.75">
      <c r="A55" s="77"/>
      <c r="B55" s="77"/>
      <c r="C55" s="77"/>
      <c r="D55" s="100"/>
      <c r="E55" s="100"/>
      <c r="F55" s="100"/>
      <c r="G55" s="100"/>
      <c r="H55" s="100"/>
      <c r="I55" s="100"/>
      <c r="J55" s="100"/>
      <c r="K55" s="100"/>
      <c r="L55" s="100"/>
      <c r="M55" s="77"/>
      <c r="N55" s="100"/>
      <c r="O55" s="100"/>
      <c r="P55" s="100"/>
      <c r="Q55" s="77"/>
      <c r="R55" s="100"/>
      <c r="S55" s="100"/>
      <c r="T55" s="100"/>
      <c r="U55" s="77"/>
      <c r="V55" s="100"/>
      <c r="W55" s="100"/>
      <c r="X55" s="100"/>
      <c r="Y55" s="77"/>
      <c r="Z55" s="100"/>
      <c r="AA55" s="100"/>
      <c r="AB55" s="100"/>
      <c r="AC55" s="77"/>
      <c r="AD55" s="100"/>
      <c r="AE55" s="100"/>
      <c r="AF55" s="100"/>
      <c r="AG55" s="77"/>
      <c r="AH55" s="77"/>
      <c r="AI55" s="77"/>
      <c r="AJ55" s="77"/>
      <c r="AK55" s="77"/>
      <c r="AL55" s="77"/>
    </row>
    <row r="56" spans="1:38" s="75" customFormat="1" ht="12.75">
      <c r="A56" s="77"/>
      <c r="B56" s="77"/>
      <c r="C56" s="77"/>
      <c r="D56" s="100"/>
      <c r="E56" s="100"/>
      <c r="F56" s="100"/>
      <c r="G56" s="100"/>
      <c r="H56" s="100"/>
      <c r="I56" s="100"/>
      <c r="J56" s="100"/>
      <c r="K56" s="100"/>
      <c r="L56" s="100"/>
      <c r="M56" s="77"/>
      <c r="N56" s="100"/>
      <c r="O56" s="100"/>
      <c r="P56" s="100"/>
      <c r="Q56" s="77"/>
      <c r="R56" s="100"/>
      <c r="S56" s="100"/>
      <c r="T56" s="100"/>
      <c r="U56" s="77"/>
      <c r="V56" s="100"/>
      <c r="W56" s="100"/>
      <c r="X56" s="100"/>
      <c r="Y56" s="77"/>
      <c r="Z56" s="100"/>
      <c r="AA56" s="100"/>
      <c r="AB56" s="100"/>
      <c r="AC56" s="77"/>
      <c r="AD56" s="100"/>
      <c r="AE56" s="100"/>
      <c r="AF56" s="100"/>
      <c r="AG56" s="77"/>
      <c r="AH56" s="77"/>
      <c r="AI56" s="77"/>
      <c r="AJ56" s="77"/>
      <c r="AK56" s="77"/>
      <c r="AL56" s="77"/>
    </row>
    <row r="57" spans="1:38" s="75" customFormat="1" ht="12.75">
      <c r="A57" s="77"/>
      <c r="B57" s="77"/>
      <c r="C57" s="77"/>
      <c r="D57" s="100"/>
      <c r="E57" s="100"/>
      <c r="F57" s="100"/>
      <c r="G57" s="100"/>
      <c r="H57" s="100"/>
      <c r="I57" s="100"/>
      <c r="J57" s="100"/>
      <c r="K57" s="100"/>
      <c r="L57" s="100"/>
      <c r="M57" s="77"/>
      <c r="N57" s="100"/>
      <c r="O57" s="100"/>
      <c r="P57" s="100"/>
      <c r="Q57" s="77"/>
      <c r="R57" s="100"/>
      <c r="S57" s="100"/>
      <c r="T57" s="100"/>
      <c r="U57" s="77"/>
      <c r="V57" s="100"/>
      <c r="W57" s="100"/>
      <c r="X57" s="100"/>
      <c r="Y57" s="77"/>
      <c r="Z57" s="100"/>
      <c r="AA57" s="100"/>
      <c r="AB57" s="100"/>
      <c r="AC57" s="77"/>
      <c r="AD57" s="100"/>
      <c r="AE57" s="100"/>
      <c r="AF57" s="100"/>
      <c r="AG57" s="77"/>
      <c r="AH57" s="77"/>
      <c r="AI57" s="77"/>
      <c r="AJ57" s="77"/>
      <c r="AK57" s="77"/>
      <c r="AL57" s="77"/>
    </row>
    <row r="58" spans="1:38" s="75" customFormat="1" ht="12.75">
      <c r="A58" s="77"/>
      <c r="B58" s="77"/>
      <c r="C58" s="77"/>
      <c r="D58" s="100"/>
      <c r="E58" s="100"/>
      <c r="F58" s="100"/>
      <c r="G58" s="100"/>
      <c r="H58" s="100"/>
      <c r="I58" s="100"/>
      <c r="J58" s="100"/>
      <c r="K58" s="100"/>
      <c r="L58" s="100"/>
      <c r="M58" s="77"/>
      <c r="N58" s="100"/>
      <c r="O58" s="100"/>
      <c r="P58" s="100"/>
      <c r="Q58" s="77"/>
      <c r="R58" s="100"/>
      <c r="S58" s="100"/>
      <c r="T58" s="100"/>
      <c r="U58" s="77"/>
      <c r="V58" s="100"/>
      <c r="W58" s="100"/>
      <c r="X58" s="100"/>
      <c r="Y58" s="77"/>
      <c r="Z58" s="100"/>
      <c r="AA58" s="100"/>
      <c r="AB58" s="100"/>
      <c r="AC58" s="77"/>
      <c r="AD58" s="100"/>
      <c r="AE58" s="100"/>
      <c r="AF58" s="100"/>
      <c r="AG58" s="77"/>
      <c r="AH58" s="77"/>
      <c r="AI58" s="77"/>
      <c r="AJ58" s="77"/>
      <c r="AK58" s="77"/>
      <c r="AL58" s="77"/>
    </row>
    <row r="59" spans="1:38" s="75" customFormat="1" ht="12.75">
      <c r="A59" s="77"/>
      <c r="B59" s="77"/>
      <c r="C59" s="77"/>
      <c r="D59" s="100"/>
      <c r="E59" s="100"/>
      <c r="F59" s="100"/>
      <c r="G59" s="100"/>
      <c r="H59" s="100"/>
      <c r="I59" s="100"/>
      <c r="J59" s="100"/>
      <c r="K59" s="100"/>
      <c r="L59" s="100"/>
      <c r="M59" s="77"/>
      <c r="N59" s="100"/>
      <c r="O59" s="100"/>
      <c r="P59" s="100"/>
      <c r="Q59" s="77"/>
      <c r="R59" s="100"/>
      <c r="S59" s="100"/>
      <c r="T59" s="100"/>
      <c r="U59" s="77"/>
      <c r="V59" s="100"/>
      <c r="W59" s="100"/>
      <c r="X59" s="100"/>
      <c r="Y59" s="77"/>
      <c r="Z59" s="100"/>
      <c r="AA59" s="100"/>
      <c r="AB59" s="100"/>
      <c r="AC59" s="77"/>
      <c r="AD59" s="100"/>
      <c r="AE59" s="100"/>
      <c r="AF59" s="100"/>
      <c r="AG59" s="77"/>
      <c r="AH59" s="77"/>
      <c r="AI59" s="77"/>
      <c r="AJ59" s="77"/>
      <c r="AK59" s="77"/>
      <c r="AL59" s="77"/>
    </row>
    <row r="60" spans="1:38" s="75" customFormat="1" ht="12.75">
      <c r="A60" s="77"/>
      <c r="B60" s="77"/>
      <c r="C60" s="77"/>
      <c r="D60" s="100"/>
      <c r="E60" s="100"/>
      <c r="F60" s="100"/>
      <c r="G60" s="100"/>
      <c r="H60" s="100"/>
      <c r="I60" s="100"/>
      <c r="J60" s="100"/>
      <c r="K60" s="100"/>
      <c r="L60" s="100"/>
      <c r="M60" s="77"/>
      <c r="N60" s="100"/>
      <c r="O60" s="100"/>
      <c r="P60" s="100"/>
      <c r="Q60" s="77"/>
      <c r="R60" s="100"/>
      <c r="S60" s="100"/>
      <c r="T60" s="100"/>
      <c r="U60" s="77"/>
      <c r="V60" s="100"/>
      <c r="W60" s="100"/>
      <c r="X60" s="100"/>
      <c r="Y60" s="77"/>
      <c r="Z60" s="100"/>
      <c r="AA60" s="100"/>
      <c r="AB60" s="100"/>
      <c r="AC60" s="77"/>
      <c r="AD60" s="100"/>
      <c r="AE60" s="100"/>
      <c r="AF60" s="100"/>
      <c r="AG60" s="77"/>
      <c r="AH60" s="77"/>
      <c r="AI60" s="77"/>
      <c r="AJ60" s="77"/>
      <c r="AK60" s="77"/>
      <c r="AL60" s="77"/>
    </row>
    <row r="61" spans="1:38" s="75" customFormat="1" ht="12.75">
      <c r="A61" s="77"/>
      <c r="B61" s="77"/>
      <c r="C61" s="77"/>
      <c r="D61" s="100"/>
      <c r="E61" s="100"/>
      <c r="F61" s="100"/>
      <c r="G61" s="100"/>
      <c r="H61" s="100"/>
      <c r="I61" s="100"/>
      <c r="J61" s="100"/>
      <c r="K61" s="100"/>
      <c r="L61" s="100"/>
      <c r="M61" s="77"/>
      <c r="N61" s="100"/>
      <c r="O61" s="100"/>
      <c r="P61" s="100"/>
      <c r="Q61" s="77"/>
      <c r="R61" s="100"/>
      <c r="S61" s="100"/>
      <c r="T61" s="100"/>
      <c r="U61" s="77"/>
      <c r="V61" s="100"/>
      <c r="W61" s="100"/>
      <c r="X61" s="100"/>
      <c r="Y61" s="77"/>
      <c r="Z61" s="100"/>
      <c r="AA61" s="100"/>
      <c r="AB61" s="100"/>
      <c r="AC61" s="77"/>
      <c r="AD61" s="100"/>
      <c r="AE61" s="100"/>
      <c r="AF61" s="100"/>
      <c r="AG61" s="77"/>
      <c r="AH61" s="77"/>
      <c r="AI61" s="77"/>
      <c r="AJ61" s="77"/>
      <c r="AK61" s="77"/>
      <c r="AL61" s="77"/>
    </row>
    <row r="62" spans="1:38" s="75" customFormat="1" ht="12.75">
      <c r="A62" s="77"/>
      <c r="B62" s="77"/>
      <c r="C62" s="77"/>
      <c r="D62" s="100"/>
      <c r="E62" s="100"/>
      <c r="F62" s="100"/>
      <c r="G62" s="100"/>
      <c r="H62" s="100"/>
      <c r="I62" s="100"/>
      <c r="J62" s="100"/>
      <c r="K62" s="100"/>
      <c r="L62" s="100"/>
      <c r="M62" s="77"/>
      <c r="N62" s="100"/>
      <c r="O62" s="100"/>
      <c r="P62" s="100"/>
      <c r="Q62" s="77"/>
      <c r="R62" s="100"/>
      <c r="S62" s="100"/>
      <c r="T62" s="100"/>
      <c r="U62" s="77"/>
      <c r="V62" s="100"/>
      <c r="W62" s="100"/>
      <c r="X62" s="100"/>
      <c r="Y62" s="77"/>
      <c r="Z62" s="100"/>
      <c r="AA62" s="100"/>
      <c r="AB62" s="100"/>
      <c r="AC62" s="77"/>
      <c r="AD62" s="100"/>
      <c r="AE62" s="100"/>
      <c r="AF62" s="100"/>
      <c r="AG62" s="77"/>
      <c r="AH62" s="77"/>
      <c r="AI62" s="77"/>
      <c r="AJ62" s="77"/>
      <c r="AK62" s="77"/>
      <c r="AL62" s="77"/>
    </row>
    <row r="63" spans="1:38" s="75" customFormat="1" ht="12.75">
      <c r="A63" s="77"/>
      <c r="B63" s="77"/>
      <c r="C63" s="77"/>
      <c r="D63" s="100"/>
      <c r="E63" s="100"/>
      <c r="F63" s="100"/>
      <c r="G63" s="100"/>
      <c r="H63" s="100"/>
      <c r="I63" s="100"/>
      <c r="J63" s="100"/>
      <c r="K63" s="100"/>
      <c r="L63" s="100"/>
      <c r="M63" s="77"/>
      <c r="N63" s="100"/>
      <c r="O63" s="100"/>
      <c r="P63" s="100"/>
      <c r="Q63" s="77"/>
      <c r="R63" s="100"/>
      <c r="S63" s="100"/>
      <c r="T63" s="100"/>
      <c r="U63" s="77"/>
      <c r="V63" s="100"/>
      <c r="W63" s="100"/>
      <c r="X63" s="100"/>
      <c r="Y63" s="77"/>
      <c r="Z63" s="100"/>
      <c r="AA63" s="100"/>
      <c r="AB63" s="100"/>
      <c r="AC63" s="77"/>
      <c r="AD63" s="100"/>
      <c r="AE63" s="100"/>
      <c r="AF63" s="100"/>
      <c r="AG63" s="77"/>
      <c r="AH63" s="77"/>
      <c r="AI63" s="77"/>
      <c r="AJ63" s="77"/>
      <c r="AK63" s="77"/>
      <c r="AL63" s="77"/>
    </row>
    <row r="64" spans="1:38" s="75" customFormat="1" ht="12.75">
      <c r="A64" s="77"/>
      <c r="B64" s="77"/>
      <c r="C64" s="77"/>
      <c r="D64" s="100"/>
      <c r="E64" s="100"/>
      <c r="F64" s="100"/>
      <c r="G64" s="100"/>
      <c r="H64" s="100"/>
      <c r="I64" s="100"/>
      <c r="J64" s="100"/>
      <c r="K64" s="100"/>
      <c r="L64" s="100"/>
      <c r="M64" s="77"/>
      <c r="N64" s="100"/>
      <c r="O64" s="100"/>
      <c r="P64" s="100"/>
      <c r="Q64" s="77"/>
      <c r="R64" s="100"/>
      <c r="S64" s="100"/>
      <c r="T64" s="100"/>
      <c r="U64" s="77"/>
      <c r="V64" s="100"/>
      <c r="W64" s="100"/>
      <c r="X64" s="100"/>
      <c r="Y64" s="77"/>
      <c r="Z64" s="100"/>
      <c r="AA64" s="100"/>
      <c r="AB64" s="100"/>
      <c r="AC64" s="77"/>
      <c r="AD64" s="100"/>
      <c r="AE64" s="100"/>
      <c r="AF64" s="100"/>
      <c r="AG64" s="77"/>
      <c r="AH64" s="77"/>
      <c r="AI64" s="77"/>
      <c r="AJ64" s="77"/>
      <c r="AK64" s="77"/>
      <c r="AL64" s="77"/>
    </row>
    <row r="65" spans="1:38" s="75" customFormat="1" ht="12.75">
      <c r="A65" s="77"/>
      <c r="B65" s="77"/>
      <c r="C65" s="77"/>
      <c r="D65" s="100"/>
      <c r="E65" s="100"/>
      <c r="F65" s="100"/>
      <c r="G65" s="100"/>
      <c r="H65" s="100"/>
      <c r="I65" s="100"/>
      <c r="J65" s="100"/>
      <c r="K65" s="100"/>
      <c r="L65" s="100"/>
      <c r="M65" s="77"/>
      <c r="N65" s="100"/>
      <c r="O65" s="100"/>
      <c r="P65" s="100"/>
      <c r="Q65" s="77"/>
      <c r="R65" s="100"/>
      <c r="S65" s="100"/>
      <c r="T65" s="100"/>
      <c r="U65" s="77"/>
      <c r="V65" s="100"/>
      <c r="W65" s="100"/>
      <c r="X65" s="100"/>
      <c r="Y65" s="77"/>
      <c r="Z65" s="100"/>
      <c r="AA65" s="100"/>
      <c r="AB65" s="100"/>
      <c r="AC65" s="77"/>
      <c r="AD65" s="100"/>
      <c r="AE65" s="100"/>
      <c r="AF65" s="100"/>
      <c r="AG65" s="77"/>
      <c r="AH65" s="77"/>
      <c r="AI65" s="77"/>
      <c r="AJ65" s="77"/>
      <c r="AK65" s="77"/>
      <c r="AL65" s="77"/>
    </row>
    <row r="66" spans="1:38" s="75" customFormat="1" ht="12.75">
      <c r="A66" s="77"/>
      <c r="B66" s="77"/>
      <c r="C66" s="77"/>
      <c r="D66" s="100"/>
      <c r="E66" s="100"/>
      <c r="F66" s="100"/>
      <c r="G66" s="100"/>
      <c r="H66" s="100"/>
      <c r="I66" s="100"/>
      <c r="J66" s="100"/>
      <c r="K66" s="100"/>
      <c r="L66" s="100"/>
      <c r="M66" s="77"/>
      <c r="N66" s="100"/>
      <c r="O66" s="100"/>
      <c r="P66" s="100"/>
      <c r="Q66" s="77"/>
      <c r="R66" s="100"/>
      <c r="S66" s="100"/>
      <c r="T66" s="100"/>
      <c r="U66" s="77"/>
      <c r="V66" s="100"/>
      <c r="W66" s="100"/>
      <c r="X66" s="100"/>
      <c r="Y66" s="77"/>
      <c r="Z66" s="100"/>
      <c r="AA66" s="100"/>
      <c r="AB66" s="100"/>
      <c r="AC66" s="77"/>
      <c r="AD66" s="100"/>
      <c r="AE66" s="100"/>
      <c r="AF66" s="100"/>
      <c r="AG66" s="77"/>
      <c r="AH66" s="77"/>
      <c r="AI66" s="77"/>
      <c r="AJ66" s="77"/>
      <c r="AK66" s="77"/>
      <c r="AL66" s="77"/>
    </row>
    <row r="67" spans="1:38" s="75" customFormat="1" ht="12.75">
      <c r="A67" s="77"/>
      <c r="B67" s="77"/>
      <c r="C67" s="77"/>
      <c r="D67" s="100"/>
      <c r="E67" s="100"/>
      <c r="F67" s="100"/>
      <c r="G67" s="100"/>
      <c r="H67" s="100"/>
      <c r="I67" s="100"/>
      <c r="J67" s="100"/>
      <c r="K67" s="100"/>
      <c r="L67" s="100"/>
      <c r="M67" s="77"/>
      <c r="N67" s="100"/>
      <c r="O67" s="100"/>
      <c r="P67" s="100"/>
      <c r="Q67" s="77"/>
      <c r="R67" s="100"/>
      <c r="S67" s="100"/>
      <c r="T67" s="100"/>
      <c r="U67" s="77"/>
      <c r="V67" s="100"/>
      <c r="W67" s="100"/>
      <c r="X67" s="100"/>
      <c r="Y67" s="77"/>
      <c r="Z67" s="100"/>
      <c r="AA67" s="100"/>
      <c r="AB67" s="100"/>
      <c r="AC67" s="77"/>
      <c r="AD67" s="100"/>
      <c r="AE67" s="100"/>
      <c r="AF67" s="100"/>
      <c r="AG67" s="77"/>
      <c r="AH67" s="77"/>
      <c r="AI67" s="77"/>
      <c r="AJ67" s="77"/>
      <c r="AK67" s="77"/>
      <c r="AL67" s="77"/>
    </row>
    <row r="68" spans="1:38" s="75" customFormat="1" ht="12.75">
      <c r="A68" s="77"/>
      <c r="B68" s="77"/>
      <c r="C68" s="77"/>
      <c r="D68" s="100"/>
      <c r="E68" s="100"/>
      <c r="F68" s="100"/>
      <c r="G68" s="100"/>
      <c r="H68" s="100"/>
      <c r="I68" s="100"/>
      <c r="J68" s="100"/>
      <c r="K68" s="100"/>
      <c r="L68" s="100"/>
      <c r="M68" s="77"/>
      <c r="N68" s="100"/>
      <c r="O68" s="100"/>
      <c r="P68" s="100"/>
      <c r="Q68" s="77"/>
      <c r="R68" s="100"/>
      <c r="S68" s="100"/>
      <c r="T68" s="100"/>
      <c r="U68" s="77"/>
      <c r="V68" s="100"/>
      <c r="W68" s="100"/>
      <c r="X68" s="100"/>
      <c r="Y68" s="77"/>
      <c r="Z68" s="100"/>
      <c r="AA68" s="100"/>
      <c r="AB68" s="100"/>
      <c r="AC68" s="77"/>
      <c r="AD68" s="100"/>
      <c r="AE68" s="100"/>
      <c r="AF68" s="100"/>
      <c r="AG68" s="77"/>
      <c r="AH68" s="77"/>
      <c r="AI68" s="77"/>
      <c r="AJ68" s="77"/>
      <c r="AK68" s="77"/>
      <c r="AL68" s="77"/>
    </row>
    <row r="69" spans="1:38" s="75" customFormat="1" ht="12.75">
      <c r="A69" s="77"/>
      <c r="B69" s="77"/>
      <c r="C69" s="77"/>
      <c r="D69" s="100"/>
      <c r="E69" s="100"/>
      <c r="F69" s="100"/>
      <c r="G69" s="100"/>
      <c r="H69" s="100"/>
      <c r="I69" s="100"/>
      <c r="J69" s="100"/>
      <c r="K69" s="100"/>
      <c r="L69" s="100"/>
      <c r="M69" s="77"/>
      <c r="N69" s="100"/>
      <c r="O69" s="100"/>
      <c r="P69" s="100"/>
      <c r="Q69" s="77"/>
      <c r="R69" s="100"/>
      <c r="S69" s="100"/>
      <c r="T69" s="100"/>
      <c r="U69" s="77"/>
      <c r="V69" s="100"/>
      <c r="W69" s="100"/>
      <c r="X69" s="100"/>
      <c r="Y69" s="77"/>
      <c r="Z69" s="100"/>
      <c r="AA69" s="100"/>
      <c r="AB69" s="100"/>
      <c r="AC69" s="77"/>
      <c r="AD69" s="100"/>
      <c r="AE69" s="100"/>
      <c r="AF69" s="100"/>
      <c r="AG69" s="77"/>
      <c r="AH69" s="77"/>
      <c r="AI69" s="77"/>
      <c r="AJ69" s="77"/>
      <c r="AK69" s="77"/>
      <c r="AL69" s="77"/>
    </row>
    <row r="70" spans="1:38" s="75" customFormat="1" ht="12.75">
      <c r="A70" s="77"/>
      <c r="B70" s="77"/>
      <c r="C70" s="77"/>
      <c r="D70" s="100"/>
      <c r="E70" s="100"/>
      <c r="F70" s="100"/>
      <c r="G70" s="100"/>
      <c r="H70" s="100"/>
      <c r="I70" s="100"/>
      <c r="J70" s="100"/>
      <c r="K70" s="100"/>
      <c r="L70" s="100"/>
      <c r="M70" s="77"/>
      <c r="N70" s="100"/>
      <c r="O70" s="100"/>
      <c r="P70" s="100"/>
      <c r="Q70" s="77"/>
      <c r="R70" s="100"/>
      <c r="S70" s="100"/>
      <c r="T70" s="100"/>
      <c r="U70" s="77"/>
      <c r="V70" s="100"/>
      <c r="W70" s="100"/>
      <c r="X70" s="100"/>
      <c r="Y70" s="77"/>
      <c r="Z70" s="100"/>
      <c r="AA70" s="100"/>
      <c r="AB70" s="100"/>
      <c r="AC70" s="77"/>
      <c r="AD70" s="100"/>
      <c r="AE70" s="100"/>
      <c r="AF70" s="100"/>
      <c r="AG70" s="77"/>
      <c r="AH70" s="77"/>
      <c r="AI70" s="77"/>
      <c r="AJ70" s="77"/>
      <c r="AK70" s="77"/>
      <c r="AL70" s="77"/>
    </row>
    <row r="71" spans="1:38" s="75" customFormat="1" ht="12.75">
      <c r="A71" s="77"/>
      <c r="B71" s="77"/>
      <c r="C71" s="77"/>
      <c r="D71" s="100"/>
      <c r="E71" s="100"/>
      <c r="F71" s="100"/>
      <c r="G71" s="100"/>
      <c r="H71" s="100"/>
      <c r="I71" s="100"/>
      <c r="J71" s="100"/>
      <c r="K71" s="100"/>
      <c r="L71" s="100"/>
      <c r="M71" s="77"/>
      <c r="N71" s="100"/>
      <c r="O71" s="100"/>
      <c r="P71" s="100"/>
      <c r="Q71" s="77"/>
      <c r="R71" s="100"/>
      <c r="S71" s="100"/>
      <c r="T71" s="100"/>
      <c r="U71" s="77"/>
      <c r="V71" s="100"/>
      <c r="W71" s="100"/>
      <c r="X71" s="100"/>
      <c r="Y71" s="77"/>
      <c r="Z71" s="100"/>
      <c r="AA71" s="100"/>
      <c r="AB71" s="100"/>
      <c r="AC71" s="77"/>
      <c r="AD71" s="100"/>
      <c r="AE71" s="100"/>
      <c r="AF71" s="100"/>
      <c r="AG71" s="77"/>
      <c r="AH71" s="77"/>
      <c r="AI71" s="77"/>
      <c r="AJ71" s="77"/>
      <c r="AK71" s="77"/>
      <c r="AL71" s="77"/>
    </row>
    <row r="72" spans="1:38" s="75" customFormat="1" ht="12.75">
      <c r="A72" s="77"/>
      <c r="B72" s="77"/>
      <c r="C72" s="77"/>
      <c r="D72" s="100"/>
      <c r="E72" s="100"/>
      <c r="F72" s="100"/>
      <c r="G72" s="100"/>
      <c r="H72" s="100"/>
      <c r="I72" s="100"/>
      <c r="J72" s="100"/>
      <c r="K72" s="100"/>
      <c r="L72" s="100"/>
      <c r="M72" s="77"/>
      <c r="N72" s="100"/>
      <c r="O72" s="100"/>
      <c r="P72" s="100"/>
      <c r="Q72" s="77"/>
      <c r="R72" s="100"/>
      <c r="S72" s="100"/>
      <c r="T72" s="100"/>
      <c r="U72" s="77"/>
      <c r="V72" s="100"/>
      <c r="W72" s="100"/>
      <c r="X72" s="100"/>
      <c r="Y72" s="77"/>
      <c r="Z72" s="100"/>
      <c r="AA72" s="100"/>
      <c r="AB72" s="100"/>
      <c r="AC72" s="77"/>
      <c r="AD72" s="100"/>
      <c r="AE72" s="100"/>
      <c r="AF72" s="100"/>
      <c r="AG72" s="77"/>
      <c r="AH72" s="77"/>
      <c r="AI72" s="77"/>
      <c r="AJ72" s="77"/>
      <c r="AK72" s="77"/>
      <c r="AL72" s="77"/>
    </row>
    <row r="73" spans="1:38" s="75" customFormat="1" ht="12.75">
      <c r="A73" s="77"/>
      <c r="B73" s="77"/>
      <c r="C73" s="77"/>
      <c r="D73" s="100"/>
      <c r="E73" s="100"/>
      <c r="F73" s="100"/>
      <c r="G73" s="100"/>
      <c r="H73" s="100"/>
      <c r="I73" s="100"/>
      <c r="J73" s="100"/>
      <c r="K73" s="100"/>
      <c r="L73" s="100"/>
      <c r="M73" s="77"/>
      <c r="N73" s="100"/>
      <c r="O73" s="100"/>
      <c r="P73" s="100"/>
      <c r="Q73" s="77"/>
      <c r="R73" s="100"/>
      <c r="S73" s="100"/>
      <c r="T73" s="100"/>
      <c r="U73" s="77"/>
      <c r="V73" s="100"/>
      <c r="W73" s="100"/>
      <c r="X73" s="100"/>
      <c r="Y73" s="77"/>
      <c r="Z73" s="100"/>
      <c r="AA73" s="100"/>
      <c r="AB73" s="100"/>
      <c r="AC73" s="77"/>
      <c r="AD73" s="100"/>
      <c r="AE73" s="100"/>
      <c r="AF73" s="100"/>
      <c r="AG73" s="77"/>
      <c r="AH73" s="77"/>
      <c r="AI73" s="77"/>
      <c r="AJ73" s="77"/>
      <c r="AK73" s="77"/>
      <c r="AL73" s="77"/>
    </row>
    <row r="74" spans="1:38" s="75" customFormat="1" ht="12.75">
      <c r="A74" s="77"/>
      <c r="B74" s="77"/>
      <c r="C74" s="77"/>
      <c r="D74" s="100"/>
      <c r="E74" s="100"/>
      <c r="F74" s="100"/>
      <c r="G74" s="100"/>
      <c r="H74" s="100"/>
      <c r="I74" s="100"/>
      <c r="J74" s="100"/>
      <c r="K74" s="100"/>
      <c r="L74" s="100"/>
      <c r="M74" s="77"/>
      <c r="N74" s="100"/>
      <c r="O74" s="100"/>
      <c r="P74" s="100"/>
      <c r="Q74" s="77"/>
      <c r="R74" s="100"/>
      <c r="S74" s="100"/>
      <c r="T74" s="100"/>
      <c r="U74" s="77"/>
      <c r="V74" s="100"/>
      <c r="W74" s="100"/>
      <c r="X74" s="100"/>
      <c r="Y74" s="77"/>
      <c r="Z74" s="100"/>
      <c r="AA74" s="100"/>
      <c r="AB74" s="100"/>
      <c r="AC74" s="77"/>
      <c r="AD74" s="100"/>
      <c r="AE74" s="100"/>
      <c r="AF74" s="100"/>
      <c r="AG74" s="77"/>
      <c r="AH74" s="77"/>
      <c r="AI74" s="77"/>
      <c r="AJ74" s="77"/>
      <c r="AK74" s="77"/>
      <c r="AL74" s="77"/>
    </row>
    <row r="75" spans="1:38" s="75" customFormat="1" ht="12.75">
      <c r="A75" s="77"/>
      <c r="B75" s="77"/>
      <c r="C75" s="77"/>
      <c r="D75" s="100"/>
      <c r="E75" s="100"/>
      <c r="F75" s="100"/>
      <c r="G75" s="100"/>
      <c r="H75" s="100"/>
      <c r="I75" s="100"/>
      <c r="J75" s="100"/>
      <c r="K75" s="100"/>
      <c r="L75" s="100"/>
      <c r="M75" s="77"/>
      <c r="N75" s="100"/>
      <c r="O75" s="100"/>
      <c r="P75" s="100"/>
      <c r="Q75" s="77"/>
      <c r="R75" s="100"/>
      <c r="S75" s="100"/>
      <c r="T75" s="100"/>
      <c r="U75" s="77"/>
      <c r="V75" s="100"/>
      <c r="W75" s="100"/>
      <c r="X75" s="100"/>
      <c r="Y75" s="77"/>
      <c r="Z75" s="100"/>
      <c r="AA75" s="100"/>
      <c r="AB75" s="100"/>
      <c r="AC75" s="77"/>
      <c r="AD75" s="100"/>
      <c r="AE75" s="100"/>
      <c r="AF75" s="100"/>
      <c r="AG75" s="77"/>
      <c r="AH75" s="77"/>
      <c r="AI75" s="77"/>
      <c r="AJ75" s="77"/>
      <c r="AK75" s="77"/>
      <c r="AL75" s="77"/>
    </row>
    <row r="76" spans="1:38" s="75" customFormat="1" ht="12.75">
      <c r="A76" s="77"/>
      <c r="B76" s="77"/>
      <c r="C76" s="77"/>
      <c r="D76" s="100"/>
      <c r="E76" s="100"/>
      <c r="F76" s="100"/>
      <c r="G76" s="100"/>
      <c r="H76" s="100"/>
      <c r="I76" s="100"/>
      <c r="J76" s="100"/>
      <c r="K76" s="100"/>
      <c r="L76" s="100"/>
      <c r="M76" s="77"/>
      <c r="N76" s="100"/>
      <c r="O76" s="100"/>
      <c r="P76" s="100"/>
      <c r="Q76" s="77"/>
      <c r="R76" s="100"/>
      <c r="S76" s="100"/>
      <c r="T76" s="100"/>
      <c r="U76" s="77"/>
      <c r="V76" s="100"/>
      <c r="W76" s="100"/>
      <c r="X76" s="100"/>
      <c r="Y76" s="77"/>
      <c r="Z76" s="100"/>
      <c r="AA76" s="100"/>
      <c r="AB76" s="100"/>
      <c r="AC76" s="77"/>
      <c r="AD76" s="100"/>
      <c r="AE76" s="100"/>
      <c r="AF76" s="100"/>
      <c r="AG76" s="77"/>
      <c r="AH76" s="77"/>
      <c r="AI76" s="77"/>
      <c r="AJ76" s="77"/>
      <c r="AK76" s="77"/>
      <c r="AL76" s="77"/>
    </row>
    <row r="77" spans="1:38" s="75" customFormat="1" ht="12.75">
      <c r="A77" s="77"/>
      <c r="B77" s="77"/>
      <c r="C77" s="77"/>
      <c r="D77" s="100"/>
      <c r="E77" s="100"/>
      <c r="F77" s="100"/>
      <c r="G77" s="100"/>
      <c r="H77" s="100"/>
      <c r="I77" s="100"/>
      <c r="J77" s="100"/>
      <c r="K77" s="100"/>
      <c r="L77" s="100"/>
      <c r="M77" s="77"/>
      <c r="N77" s="100"/>
      <c r="O77" s="100"/>
      <c r="P77" s="100"/>
      <c r="Q77" s="77"/>
      <c r="R77" s="100"/>
      <c r="S77" s="100"/>
      <c r="T77" s="100"/>
      <c r="U77" s="77"/>
      <c r="V77" s="100"/>
      <c r="W77" s="100"/>
      <c r="X77" s="100"/>
      <c r="Y77" s="77"/>
      <c r="Z77" s="100"/>
      <c r="AA77" s="100"/>
      <c r="AB77" s="100"/>
      <c r="AC77" s="77"/>
      <c r="AD77" s="100"/>
      <c r="AE77" s="100"/>
      <c r="AF77" s="100"/>
      <c r="AG77" s="77"/>
      <c r="AH77" s="77"/>
      <c r="AI77" s="77"/>
      <c r="AJ77" s="77"/>
      <c r="AK77" s="77"/>
      <c r="AL77" s="77"/>
    </row>
    <row r="78" spans="1:38" s="75" customFormat="1" ht="12.75">
      <c r="A78" s="77"/>
      <c r="B78" s="77"/>
      <c r="C78" s="77"/>
      <c r="D78" s="100"/>
      <c r="E78" s="100"/>
      <c r="F78" s="100"/>
      <c r="G78" s="100"/>
      <c r="H78" s="100"/>
      <c r="I78" s="100"/>
      <c r="J78" s="100"/>
      <c r="K78" s="100"/>
      <c r="L78" s="100"/>
      <c r="M78" s="77"/>
      <c r="N78" s="100"/>
      <c r="O78" s="100"/>
      <c r="P78" s="100"/>
      <c r="Q78" s="77"/>
      <c r="R78" s="100"/>
      <c r="S78" s="100"/>
      <c r="T78" s="100"/>
      <c r="U78" s="77"/>
      <c r="V78" s="100"/>
      <c r="W78" s="100"/>
      <c r="X78" s="100"/>
      <c r="Y78" s="77"/>
      <c r="Z78" s="100"/>
      <c r="AA78" s="100"/>
      <c r="AB78" s="100"/>
      <c r="AC78" s="77"/>
      <c r="AD78" s="100"/>
      <c r="AE78" s="100"/>
      <c r="AF78" s="100"/>
      <c r="AG78" s="77"/>
      <c r="AH78" s="77"/>
      <c r="AI78" s="77"/>
      <c r="AJ78" s="77"/>
      <c r="AK78" s="77"/>
      <c r="AL78" s="77"/>
    </row>
    <row r="79" spans="1:38" s="75" customFormat="1" ht="12.75">
      <c r="A79" s="77"/>
      <c r="B79" s="77"/>
      <c r="C79" s="77"/>
      <c r="D79" s="100"/>
      <c r="E79" s="100"/>
      <c r="F79" s="100"/>
      <c r="G79" s="100"/>
      <c r="H79" s="100"/>
      <c r="I79" s="100"/>
      <c r="J79" s="100"/>
      <c r="K79" s="100"/>
      <c r="L79" s="100"/>
      <c r="M79" s="77"/>
      <c r="N79" s="100"/>
      <c r="O79" s="100"/>
      <c r="P79" s="100"/>
      <c r="Q79" s="77"/>
      <c r="R79" s="100"/>
      <c r="S79" s="100"/>
      <c r="T79" s="100"/>
      <c r="U79" s="77"/>
      <c r="V79" s="100"/>
      <c r="W79" s="100"/>
      <c r="X79" s="100"/>
      <c r="Y79" s="77"/>
      <c r="Z79" s="100"/>
      <c r="AA79" s="100"/>
      <c r="AB79" s="100"/>
      <c r="AC79" s="77"/>
      <c r="AD79" s="100"/>
      <c r="AE79" s="100"/>
      <c r="AF79" s="100"/>
      <c r="AG79" s="77"/>
      <c r="AH79" s="77"/>
      <c r="AI79" s="77"/>
      <c r="AJ79" s="77"/>
      <c r="AK79" s="77"/>
      <c r="AL79" s="77"/>
    </row>
    <row r="80" spans="1:38" s="75" customFormat="1" ht="12.75">
      <c r="A80" s="77"/>
      <c r="B80" s="77"/>
      <c r="C80" s="77"/>
      <c r="D80" s="100"/>
      <c r="E80" s="100"/>
      <c r="F80" s="100"/>
      <c r="G80" s="100"/>
      <c r="H80" s="100"/>
      <c r="I80" s="100"/>
      <c r="J80" s="100"/>
      <c r="K80" s="100"/>
      <c r="L80" s="100"/>
      <c r="M80" s="77"/>
      <c r="N80" s="100"/>
      <c r="O80" s="100"/>
      <c r="P80" s="100"/>
      <c r="Q80" s="77"/>
      <c r="R80" s="100"/>
      <c r="S80" s="100"/>
      <c r="T80" s="100"/>
      <c r="U80" s="77"/>
      <c r="V80" s="100"/>
      <c r="W80" s="100"/>
      <c r="X80" s="100"/>
      <c r="Y80" s="77"/>
      <c r="Z80" s="100"/>
      <c r="AA80" s="100"/>
      <c r="AB80" s="100"/>
      <c r="AC80" s="77"/>
      <c r="AD80" s="100"/>
      <c r="AE80" s="100"/>
      <c r="AF80" s="100"/>
      <c r="AG80" s="77"/>
      <c r="AH80" s="77"/>
      <c r="AI80" s="77"/>
      <c r="AJ80" s="77"/>
      <c r="AK80" s="77"/>
      <c r="AL80" s="77"/>
    </row>
    <row r="81" spans="1:38" s="75" customFormat="1" ht="12.75">
      <c r="A81" s="77"/>
      <c r="B81" s="77"/>
      <c r="C81" s="77"/>
      <c r="D81" s="100"/>
      <c r="E81" s="100"/>
      <c r="F81" s="100"/>
      <c r="G81" s="100"/>
      <c r="H81" s="100"/>
      <c r="I81" s="100"/>
      <c r="J81" s="100"/>
      <c r="K81" s="100"/>
      <c r="L81" s="100"/>
      <c r="M81" s="77"/>
      <c r="N81" s="100"/>
      <c r="O81" s="100"/>
      <c r="P81" s="100"/>
      <c r="Q81" s="77"/>
      <c r="R81" s="100"/>
      <c r="S81" s="100"/>
      <c r="T81" s="100"/>
      <c r="U81" s="77"/>
      <c r="V81" s="100"/>
      <c r="W81" s="100"/>
      <c r="X81" s="100"/>
      <c r="Y81" s="77"/>
      <c r="Z81" s="100"/>
      <c r="AA81" s="100"/>
      <c r="AB81" s="100"/>
      <c r="AC81" s="77"/>
      <c r="AD81" s="100"/>
      <c r="AE81" s="100"/>
      <c r="AF81" s="100"/>
      <c r="AG81" s="77"/>
      <c r="AH81" s="77"/>
      <c r="AI81" s="77"/>
      <c r="AJ81" s="77"/>
      <c r="AK81" s="77"/>
      <c r="AL81" s="77"/>
    </row>
    <row r="82" spans="1:38" s="75" customFormat="1" ht="12.75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s="75" customFormat="1" ht="12.75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s="75" customFormat="1" ht="12.75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="75" customFormat="1" ht="12.75"/>
    <row r="86" s="75" customFormat="1" ht="12.75"/>
    <row r="87" s="75" customFormat="1" ht="12.75"/>
    <row r="88" s="75" customFormat="1" ht="12.75"/>
    <row r="89" s="75" customFormat="1" ht="12.75"/>
    <row r="90" s="75" customFormat="1" ht="12.75"/>
    <row r="91" s="75" customFormat="1" ht="12.75"/>
    <row r="92" s="75" customFormat="1" ht="12.75"/>
    <row r="93" s="75" customFormat="1" ht="12.75"/>
    <row r="94" s="75" customFormat="1" ht="12.75"/>
    <row r="95" s="75" customFormat="1" ht="12.75"/>
    <row r="96" s="75" customFormat="1" ht="12.75"/>
    <row r="97" s="75" customFormat="1" ht="12.75"/>
    <row r="98" s="75" customFormat="1" ht="12.75"/>
    <row r="99" s="75" customFormat="1" ht="12.75"/>
    <row r="100" s="75" customFormat="1" ht="12.75"/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84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4.00390625" style="3" customWidth="1"/>
    <col min="2" max="2" width="20.7109375" style="3" customWidth="1"/>
    <col min="3" max="3" width="6.7109375" style="3" customWidth="1"/>
    <col min="4" max="12" width="10.7109375" style="3" customWidth="1"/>
    <col min="13" max="13" width="9.7109375" style="3" customWidth="1"/>
    <col min="14" max="16" width="10.7109375" style="3" customWidth="1"/>
    <col min="17" max="17" width="9.7109375" style="3" customWidth="1"/>
    <col min="18" max="20" width="10.7109375" style="3" customWidth="1"/>
    <col min="21" max="21" width="9.7109375" style="3" customWidth="1"/>
    <col min="22" max="25" width="10.7109375" style="3" hidden="1" customWidth="1"/>
    <col min="26" max="28" width="10.7109375" style="3" customWidth="1"/>
    <col min="29" max="29" width="9.7109375" style="3" customWidth="1"/>
    <col min="30" max="32" width="10.7109375" style="3" customWidth="1"/>
    <col min="33" max="34" width="9.7109375" style="3" customWidth="1"/>
    <col min="35" max="37" width="0" style="3" hidden="1" customWidth="1"/>
    <col min="38" max="16384" width="9.140625" style="3" customWidth="1"/>
  </cols>
  <sheetData>
    <row r="1" spans="1:38" ht="16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4"/>
      <c r="B2" s="119" t="s">
        <v>653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2"/>
      <c r="AJ2" s="2"/>
      <c r="AK2" s="2"/>
      <c r="AL2" s="2"/>
    </row>
    <row r="3" spans="1:38" ht="16.5">
      <c r="A3" s="5"/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2"/>
      <c r="AJ3" s="2"/>
      <c r="AK3" s="2"/>
      <c r="AL3" s="2"/>
    </row>
    <row r="4" spans="1:38" s="13" customFormat="1" ht="16.5" customHeight="1">
      <c r="A4" s="8"/>
      <c r="B4" s="9"/>
      <c r="C4" s="10"/>
      <c r="D4" s="121" t="s">
        <v>0</v>
      </c>
      <c r="E4" s="121"/>
      <c r="F4" s="121"/>
      <c r="G4" s="121" t="s">
        <v>1</v>
      </c>
      <c r="H4" s="121"/>
      <c r="I4" s="121"/>
      <c r="J4" s="122" t="s">
        <v>2</v>
      </c>
      <c r="K4" s="123"/>
      <c r="L4" s="123"/>
      <c r="M4" s="124"/>
      <c r="N4" s="122" t="s">
        <v>3</v>
      </c>
      <c r="O4" s="125"/>
      <c r="P4" s="125"/>
      <c r="Q4" s="126"/>
      <c r="R4" s="122" t="s">
        <v>4</v>
      </c>
      <c r="S4" s="125"/>
      <c r="T4" s="125"/>
      <c r="U4" s="126"/>
      <c r="V4" s="122" t="s">
        <v>5</v>
      </c>
      <c r="W4" s="127"/>
      <c r="X4" s="127"/>
      <c r="Y4" s="128"/>
      <c r="Z4" s="122" t="s">
        <v>6</v>
      </c>
      <c r="AA4" s="123"/>
      <c r="AB4" s="123"/>
      <c r="AC4" s="124"/>
      <c r="AD4" s="122" t="s">
        <v>7</v>
      </c>
      <c r="AE4" s="123"/>
      <c r="AF4" s="123"/>
      <c r="AG4" s="124"/>
      <c r="AH4" s="11"/>
      <c r="AI4" s="12"/>
      <c r="AJ4" s="12"/>
      <c r="AK4" s="12"/>
      <c r="AL4" s="12"/>
    </row>
    <row r="5" spans="1:38" s="13" customFormat="1" ht="81.75" customHeight="1">
      <c r="A5" s="14"/>
      <c r="B5" s="15" t="s">
        <v>8</v>
      </c>
      <c r="C5" s="16" t="s">
        <v>9</v>
      </c>
      <c r="D5" s="17" t="s">
        <v>10</v>
      </c>
      <c r="E5" s="18" t="s">
        <v>11</v>
      </c>
      <c r="F5" s="19" t="s">
        <v>12</v>
      </c>
      <c r="G5" s="17" t="s">
        <v>10</v>
      </c>
      <c r="H5" s="18" t="s">
        <v>11</v>
      </c>
      <c r="I5" s="19" t="s">
        <v>12</v>
      </c>
      <c r="J5" s="17" t="s">
        <v>10</v>
      </c>
      <c r="K5" s="18" t="s">
        <v>11</v>
      </c>
      <c r="L5" s="18" t="s">
        <v>12</v>
      </c>
      <c r="M5" s="19" t="s">
        <v>13</v>
      </c>
      <c r="N5" s="17" t="s">
        <v>10</v>
      </c>
      <c r="O5" s="18" t="s">
        <v>11</v>
      </c>
      <c r="P5" s="20" t="s">
        <v>12</v>
      </c>
      <c r="Q5" s="21" t="s">
        <v>14</v>
      </c>
      <c r="R5" s="18" t="s">
        <v>10</v>
      </c>
      <c r="S5" s="18" t="s">
        <v>11</v>
      </c>
      <c r="T5" s="20" t="s">
        <v>12</v>
      </c>
      <c r="U5" s="21" t="s">
        <v>15</v>
      </c>
      <c r="V5" s="18" t="s">
        <v>10</v>
      </c>
      <c r="W5" s="18" t="s">
        <v>11</v>
      </c>
      <c r="X5" s="20" t="s">
        <v>12</v>
      </c>
      <c r="Y5" s="21" t="s">
        <v>16</v>
      </c>
      <c r="Z5" s="17" t="s">
        <v>10</v>
      </c>
      <c r="AA5" s="18" t="s">
        <v>11</v>
      </c>
      <c r="AB5" s="18" t="s">
        <v>12</v>
      </c>
      <c r="AC5" s="19" t="s">
        <v>17</v>
      </c>
      <c r="AD5" s="17" t="s">
        <v>10</v>
      </c>
      <c r="AE5" s="18" t="s">
        <v>11</v>
      </c>
      <c r="AF5" s="18" t="s">
        <v>12</v>
      </c>
      <c r="AG5" s="22" t="s">
        <v>17</v>
      </c>
      <c r="AH5" s="23" t="s">
        <v>18</v>
      </c>
      <c r="AI5" s="12"/>
      <c r="AJ5" s="12"/>
      <c r="AK5" s="12"/>
      <c r="AL5" s="12"/>
    </row>
    <row r="6" spans="1:38" s="13" customFormat="1" ht="12.75">
      <c r="A6" s="8"/>
      <c r="B6" s="11"/>
      <c r="C6" s="25"/>
      <c r="D6" s="26"/>
      <c r="E6" s="27"/>
      <c r="F6" s="28"/>
      <c r="G6" s="29"/>
      <c r="H6" s="27"/>
      <c r="I6" s="30"/>
      <c r="J6" s="29"/>
      <c r="K6" s="27"/>
      <c r="L6" s="27"/>
      <c r="M6" s="28"/>
      <c r="N6" s="26"/>
      <c r="O6" s="31"/>
      <c r="P6" s="27"/>
      <c r="Q6" s="28"/>
      <c r="R6" s="26"/>
      <c r="S6" s="27"/>
      <c r="T6" s="27"/>
      <c r="U6" s="28"/>
      <c r="V6" s="26"/>
      <c r="W6" s="27"/>
      <c r="X6" s="27"/>
      <c r="Y6" s="28"/>
      <c r="Z6" s="29"/>
      <c r="AA6" s="27"/>
      <c r="AB6" s="27"/>
      <c r="AC6" s="28"/>
      <c r="AD6" s="29"/>
      <c r="AE6" s="27"/>
      <c r="AF6" s="27"/>
      <c r="AG6" s="28"/>
      <c r="AH6" s="28"/>
      <c r="AI6" s="12"/>
      <c r="AJ6" s="12"/>
      <c r="AK6" s="12"/>
      <c r="AL6" s="12"/>
    </row>
    <row r="7" spans="1:38" s="13" customFormat="1" ht="12.75">
      <c r="A7" s="32"/>
      <c r="B7" s="60" t="s">
        <v>30</v>
      </c>
      <c r="C7" s="25"/>
      <c r="D7" s="34"/>
      <c r="E7" s="35"/>
      <c r="F7" s="36"/>
      <c r="G7" s="29"/>
      <c r="H7" s="35"/>
      <c r="I7" s="30"/>
      <c r="J7" s="29"/>
      <c r="K7" s="35"/>
      <c r="L7" s="35"/>
      <c r="M7" s="36"/>
      <c r="N7" s="34"/>
      <c r="O7" s="37"/>
      <c r="P7" s="35"/>
      <c r="Q7" s="36"/>
      <c r="R7" s="34"/>
      <c r="S7" s="35"/>
      <c r="T7" s="35"/>
      <c r="U7" s="36"/>
      <c r="V7" s="34"/>
      <c r="W7" s="35"/>
      <c r="X7" s="35"/>
      <c r="Y7" s="36"/>
      <c r="Z7" s="29"/>
      <c r="AA7" s="35"/>
      <c r="AB7" s="35"/>
      <c r="AC7" s="36"/>
      <c r="AD7" s="29"/>
      <c r="AE7" s="35"/>
      <c r="AF7" s="35"/>
      <c r="AG7" s="36"/>
      <c r="AH7" s="36"/>
      <c r="AI7" s="12"/>
      <c r="AJ7" s="12"/>
      <c r="AK7" s="12"/>
      <c r="AL7" s="12"/>
    </row>
    <row r="8" spans="1:38" s="13" customFormat="1" ht="12.75">
      <c r="A8" s="32"/>
      <c r="B8" s="25"/>
      <c r="C8" s="25"/>
      <c r="D8" s="34"/>
      <c r="E8" s="35"/>
      <c r="F8" s="36"/>
      <c r="G8" s="29"/>
      <c r="H8" s="35"/>
      <c r="I8" s="30"/>
      <c r="J8" s="29"/>
      <c r="K8" s="35"/>
      <c r="L8" s="35"/>
      <c r="M8" s="36"/>
      <c r="N8" s="34"/>
      <c r="O8" s="37"/>
      <c r="P8" s="35"/>
      <c r="Q8" s="36"/>
      <c r="R8" s="34"/>
      <c r="S8" s="35"/>
      <c r="T8" s="35"/>
      <c r="U8" s="36"/>
      <c r="V8" s="34"/>
      <c r="W8" s="35"/>
      <c r="X8" s="35"/>
      <c r="Y8" s="36"/>
      <c r="Z8" s="29"/>
      <c r="AA8" s="35"/>
      <c r="AB8" s="35"/>
      <c r="AC8" s="36"/>
      <c r="AD8" s="29"/>
      <c r="AE8" s="35"/>
      <c r="AF8" s="35"/>
      <c r="AG8" s="36"/>
      <c r="AH8" s="36"/>
      <c r="AI8" s="12"/>
      <c r="AJ8" s="12"/>
      <c r="AK8" s="12"/>
      <c r="AL8" s="12"/>
    </row>
    <row r="9" spans="1:38" s="13" customFormat="1" ht="12.75">
      <c r="A9" s="29" t="s">
        <v>95</v>
      </c>
      <c r="B9" s="61" t="s">
        <v>445</v>
      </c>
      <c r="C9" s="39" t="s">
        <v>446</v>
      </c>
      <c r="D9" s="78">
        <v>382938714</v>
      </c>
      <c r="E9" s="79">
        <v>109886450</v>
      </c>
      <c r="F9" s="80">
        <f>$D9+$E9</f>
        <v>492825164</v>
      </c>
      <c r="G9" s="78">
        <v>365769314</v>
      </c>
      <c r="H9" s="79">
        <v>109886450</v>
      </c>
      <c r="I9" s="81">
        <f>$G9+$H9</f>
        <v>475655764</v>
      </c>
      <c r="J9" s="78">
        <v>58536522</v>
      </c>
      <c r="K9" s="79">
        <v>24168958</v>
      </c>
      <c r="L9" s="79">
        <f>$J9+$K9</f>
        <v>82705480</v>
      </c>
      <c r="M9" s="40">
        <f>IF($F9=0,0,$L9/$F9)</f>
        <v>0.16781910917194967</v>
      </c>
      <c r="N9" s="106">
        <v>77881126</v>
      </c>
      <c r="O9" s="107">
        <v>17448438</v>
      </c>
      <c r="P9" s="108">
        <f>$N9+$O9</f>
        <v>95329564</v>
      </c>
      <c r="Q9" s="40">
        <f>IF($F9=0,0,$P9/$F9)</f>
        <v>0.19343485471857927</v>
      </c>
      <c r="R9" s="106">
        <v>80103860</v>
      </c>
      <c r="S9" s="108">
        <v>22669782</v>
      </c>
      <c r="T9" s="108">
        <f>$R9+$S9</f>
        <v>102773642</v>
      </c>
      <c r="U9" s="40">
        <f>IF($I9=0,0,$T9/$I9)</f>
        <v>0.21606726918587282</v>
      </c>
      <c r="V9" s="106">
        <v>0</v>
      </c>
      <c r="W9" s="108">
        <v>0</v>
      </c>
      <c r="X9" s="108">
        <f>$V9+$W9</f>
        <v>0</v>
      </c>
      <c r="Y9" s="40">
        <f>IF($I9=0,0,$X9/$I9)</f>
        <v>0</v>
      </c>
      <c r="Z9" s="78">
        <f>$J9+$N9+$R9</f>
        <v>216521508</v>
      </c>
      <c r="AA9" s="79">
        <f>$K9+$O9+$S9</f>
        <v>64287178</v>
      </c>
      <c r="AB9" s="79">
        <f>$Z9+$AA9</f>
        <v>280808686</v>
      </c>
      <c r="AC9" s="40">
        <f>IF($I9=0,0,$AB9/$I9)</f>
        <v>0.5903611545428471</v>
      </c>
      <c r="AD9" s="78">
        <v>49556770</v>
      </c>
      <c r="AE9" s="79">
        <v>22254902</v>
      </c>
      <c r="AF9" s="79">
        <f>$AD9+$AE9</f>
        <v>71811672</v>
      </c>
      <c r="AG9" s="40">
        <f>IF(534445147=0,0,207827203/534445147)</f>
        <v>0.38886535721504084</v>
      </c>
      <c r="AH9" s="40">
        <f>IF($AF9=0,0,(($T9/$AF9)-1))</f>
        <v>0.43115511918452487</v>
      </c>
      <c r="AI9" s="12">
        <v>482664884</v>
      </c>
      <c r="AJ9" s="12">
        <v>534445147</v>
      </c>
      <c r="AK9" s="12">
        <v>207827203</v>
      </c>
      <c r="AL9" s="12"/>
    </row>
    <row r="10" spans="1:38" s="13" customFormat="1" ht="12.75">
      <c r="A10" s="29" t="s">
        <v>95</v>
      </c>
      <c r="B10" s="61" t="s">
        <v>447</v>
      </c>
      <c r="C10" s="39" t="s">
        <v>448</v>
      </c>
      <c r="D10" s="78">
        <v>652911358</v>
      </c>
      <c r="E10" s="79">
        <v>89900150</v>
      </c>
      <c r="F10" s="81">
        <f aca="true" t="shared" si="0" ref="F10:F33">$D10+$E10</f>
        <v>742811508</v>
      </c>
      <c r="G10" s="78">
        <v>666671884</v>
      </c>
      <c r="H10" s="79">
        <v>61066150</v>
      </c>
      <c r="I10" s="81">
        <f aca="true" t="shared" si="1" ref="I10:I33">$G10+$H10</f>
        <v>727738034</v>
      </c>
      <c r="J10" s="78">
        <v>133212686</v>
      </c>
      <c r="K10" s="79">
        <v>289375</v>
      </c>
      <c r="L10" s="79">
        <f aca="true" t="shared" si="2" ref="L10:L33">$J10+$K10</f>
        <v>133502061</v>
      </c>
      <c r="M10" s="40">
        <f aca="true" t="shared" si="3" ref="M10:M33">IF($F10=0,0,$L10/$F10)</f>
        <v>0.17972535368959308</v>
      </c>
      <c r="N10" s="106">
        <v>66759526</v>
      </c>
      <c r="O10" s="107">
        <v>3253906</v>
      </c>
      <c r="P10" s="108">
        <f aca="true" t="shared" si="4" ref="P10:P33">$N10+$O10</f>
        <v>70013432</v>
      </c>
      <c r="Q10" s="40">
        <f aca="true" t="shared" si="5" ref="Q10:Q33">IF($F10=0,0,$P10/$F10)</f>
        <v>0.09425464097683312</v>
      </c>
      <c r="R10" s="106">
        <v>129276891</v>
      </c>
      <c r="S10" s="108">
        <v>9056240</v>
      </c>
      <c r="T10" s="108">
        <f aca="true" t="shared" si="6" ref="T10:T33">$R10+$S10</f>
        <v>138333131</v>
      </c>
      <c r="U10" s="40">
        <f aca="true" t="shared" si="7" ref="U10:U33">IF($I10=0,0,$T10/$I10)</f>
        <v>0.19008643843946735</v>
      </c>
      <c r="V10" s="106">
        <v>0</v>
      </c>
      <c r="W10" s="108">
        <v>0</v>
      </c>
      <c r="X10" s="108">
        <f aca="true" t="shared" si="8" ref="X10:X33">$V10+$W10</f>
        <v>0</v>
      </c>
      <c r="Y10" s="40">
        <f aca="true" t="shared" si="9" ref="Y10:Y33">IF($I10=0,0,$X10/$I10)</f>
        <v>0</v>
      </c>
      <c r="Z10" s="78">
        <f aca="true" t="shared" si="10" ref="Z10:Z33">$J10+$N10+$R10</f>
        <v>329249103</v>
      </c>
      <c r="AA10" s="79">
        <f aca="true" t="shared" si="11" ref="AA10:AA33">$K10+$O10+$S10</f>
        <v>12599521</v>
      </c>
      <c r="AB10" s="79">
        <f aca="true" t="shared" si="12" ref="AB10:AB33">$Z10+$AA10</f>
        <v>341848624</v>
      </c>
      <c r="AC10" s="40">
        <f aca="true" t="shared" si="13" ref="AC10:AC33">IF($I10=0,0,$AB10/$I10)</f>
        <v>0.4697413190307434</v>
      </c>
      <c r="AD10" s="78">
        <v>92922240</v>
      </c>
      <c r="AE10" s="79">
        <v>6724833</v>
      </c>
      <c r="AF10" s="79">
        <f aca="true" t="shared" si="14" ref="AF10:AF33">$AD10+$AE10</f>
        <v>99647073</v>
      </c>
      <c r="AG10" s="40">
        <f>IF(736136882=0,0,324564639/736136882)</f>
        <v>0.4409025643684567</v>
      </c>
      <c r="AH10" s="40">
        <f aca="true" t="shared" si="15" ref="AH10:AH33">IF($AF10=0,0,(($T10/$AF10)-1))</f>
        <v>0.3882307511430867</v>
      </c>
      <c r="AI10" s="12">
        <v>635857110</v>
      </c>
      <c r="AJ10" s="12">
        <v>736136882</v>
      </c>
      <c r="AK10" s="12">
        <v>324564639</v>
      </c>
      <c r="AL10" s="12"/>
    </row>
    <row r="11" spans="1:38" s="13" customFormat="1" ht="12.75">
      <c r="A11" s="29" t="s">
        <v>95</v>
      </c>
      <c r="B11" s="61" t="s">
        <v>449</v>
      </c>
      <c r="C11" s="39" t="s">
        <v>450</v>
      </c>
      <c r="D11" s="78">
        <v>423173551</v>
      </c>
      <c r="E11" s="79">
        <v>92932158</v>
      </c>
      <c r="F11" s="80">
        <f t="shared" si="0"/>
        <v>516105709</v>
      </c>
      <c r="G11" s="78">
        <v>443655071</v>
      </c>
      <c r="H11" s="79">
        <v>240605087</v>
      </c>
      <c r="I11" s="81">
        <f t="shared" si="1"/>
        <v>684260158</v>
      </c>
      <c r="J11" s="78">
        <v>83450761</v>
      </c>
      <c r="K11" s="79">
        <v>27798399</v>
      </c>
      <c r="L11" s="79">
        <f t="shared" si="2"/>
        <v>111249160</v>
      </c>
      <c r="M11" s="40">
        <f t="shared" si="3"/>
        <v>0.21555498817394403</v>
      </c>
      <c r="N11" s="106">
        <v>81888287</v>
      </c>
      <c r="O11" s="107">
        <v>85068754</v>
      </c>
      <c r="P11" s="108">
        <f t="shared" si="4"/>
        <v>166957041</v>
      </c>
      <c r="Q11" s="40">
        <f t="shared" si="5"/>
        <v>0.3234938852420251</v>
      </c>
      <c r="R11" s="106">
        <v>114836160</v>
      </c>
      <c r="S11" s="108">
        <v>32759009</v>
      </c>
      <c r="T11" s="108">
        <f t="shared" si="6"/>
        <v>147595169</v>
      </c>
      <c r="U11" s="40">
        <f t="shared" si="7"/>
        <v>0.21570036962461872</v>
      </c>
      <c r="V11" s="106">
        <v>0</v>
      </c>
      <c r="W11" s="108">
        <v>0</v>
      </c>
      <c r="X11" s="108">
        <f t="shared" si="8"/>
        <v>0</v>
      </c>
      <c r="Y11" s="40">
        <f t="shared" si="9"/>
        <v>0</v>
      </c>
      <c r="Z11" s="78">
        <f t="shared" si="10"/>
        <v>280175208</v>
      </c>
      <c r="AA11" s="79">
        <f t="shared" si="11"/>
        <v>145626162</v>
      </c>
      <c r="AB11" s="79">
        <f t="shared" si="12"/>
        <v>425801370</v>
      </c>
      <c r="AC11" s="40">
        <f t="shared" si="13"/>
        <v>0.6222799399055469</v>
      </c>
      <c r="AD11" s="78">
        <v>68127075</v>
      </c>
      <c r="AE11" s="79">
        <v>15489226</v>
      </c>
      <c r="AF11" s="79">
        <f t="shared" si="14"/>
        <v>83616301</v>
      </c>
      <c r="AG11" s="40">
        <f>IF(500653343=0,0,263188012/500653343)</f>
        <v>0.5256891133951741</v>
      </c>
      <c r="AH11" s="40">
        <f t="shared" si="15"/>
        <v>0.7651482693547995</v>
      </c>
      <c r="AI11" s="12">
        <v>507895572</v>
      </c>
      <c r="AJ11" s="12">
        <v>500653343</v>
      </c>
      <c r="AK11" s="12">
        <v>263188012</v>
      </c>
      <c r="AL11" s="12"/>
    </row>
    <row r="12" spans="1:38" s="13" customFormat="1" ht="12.75">
      <c r="A12" s="29" t="s">
        <v>95</v>
      </c>
      <c r="B12" s="61" t="s">
        <v>451</v>
      </c>
      <c r="C12" s="39" t="s">
        <v>452</v>
      </c>
      <c r="D12" s="78">
        <v>289263806</v>
      </c>
      <c r="E12" s="79">
        <v>44639860</v>
      </c>
      <c r="F12" s="80">
        <f t="shared" si="0"/>
        <v>333903666</v>
      </c>
      <c r="G12" s="78">
        <v>300334982</v>
      </c>
      <c r="H12" s="79">
        <v>44639860</v>
      </c>
      <c r="I12" s="81">
        <f t="shared" si="1"/>
        <v>344974842</v>
      </c>
      <c r="J12" s="78">
        <v>45188786</v>
      </c>
      <c r="K12" s="79">
        <v>5294910</v>
      </c>
      <c r="L12" s="79">
        <f t="shared" si="2"/>
        <v>50483696</v>
      </c>
      <c r="M12" s="40">
        <f t="shared" si="3"/>
        <v>0.15119239810921992</v>
      </c>
      <c r="N12" s="106">
        <v>83642846</v>
      </c>
      <c r="O12" s="107">
        <v>1505880</v>
      </c>
      <c r="P12" s="108">
        <f t="shared" si="4"/>
        <v>85148726</v>
      </c>
      <c r="Q12" s="40">
        <f t="shared" si="5"/>
        <v>0.2550098566452996</v>
      </c>
      <c r="R12" s="106">
        <v>47953418</v>
      </c>
      <c r="S12" s="108">
        <v>14854167</v>
      </c>
      <c r="T12" s="108">
        <f t="shared" si="6"/>
        <v>62807585</v>
      </c>
      <c r="U12" s="40">
        <f t="shared" si="7"/>
        <v>0.1820642474560507</v>
      </c>
      <c r="V12" s="106">
        <v>0</v>
      </c>
      <c r="W12" s="108">
        <v>0</v>
      </c>
      <c r="X12" s="108">
        <f t="shared" si="8"/>
        <v>0</v>
      </c>
      <c r="Y12" s="40">
        <f t="shared" si="9"/>
        <v>0</v>
      </c>
      <c r="Z12" s="78">
        <f t="shared" si="10"/>
        <v>176785050</v>
      </c>
      <c r="AA12" s="79">
        <f t="shared" si="11"/>
        <v>21654957</v>
      </c>
      <c r="AB12" s="79">
        <f t="shared" si="12"/>
        <v>198440007</v>
      </c>
      <c r="AC12" s="40">
        <f t="shared" si="13"/>
        <v>0.575230372886148</v>
      </c>
      <c r="AD12" s="78">
        <v>44169146</v>
      </c>
      <c r="AE12" s="79">
        <v>15746001</v>
      </c>
      <c r="AF12" s="79">
        <f t="shared" si="14"/>
        <v>59915147</v>
      </c>
      <c r="AG12" s="40">
        <f>IF(293151110=0,0,139833422/293151110)</f>
        <v>0.4770011684417637</v>
      </c>
      <c r="AH12" s="40">
        <f t="shared" si="15"/>
        <v>0.04827557211868316</v>
      </c>
      <c r="AI12" s="12">
        <v>363780843</v>
      </c>
      <c r="AJ12" s="12">
        <v>293151110</v>
      </c>
      <c r="AK12" s="12">
        <v>139833422</v>
      </c>
      <c r="AL12" s="12"/>
    </row>
    <row r="13" spans="1:38" s="13" customFormat="1" ht="12.75">
      <c r="A13" s="29" t="s">
        <v>95</v>
      </c>
      <c r="B13" s="61" t="s">
        <v>453</v>
      </c>
      <c r="C13" s="39" t="s">
        <v>454</v>
      </c>
      <c r="D13" s="78">
        <v>777528574</v>
      </c>
      <c r="E13" s="79">
        <v>29678150</v>
      </c>
      <c r="F13" s="80">
        <f t="shared" si="0"/>
        <v>807206724</v>
      </c>
      <c r="G13" s="78">
        <v>777528574</v>
      </c>
      <c r="H13" s="79">
        <v>29678150</v>
      </c>
      <c r="I13" s="81">
        <f t="shared" si="1"/>
        <v>807206724</v>
      </c>
      <c r="J13" s="78">
        <v>120446406</v>
      </c>
      <c r="K13" s="79">
        <v>3964742</v>
      </c>
      <c r="L13" s="79">
        <f t="shared" si="2"/>
        <v>124411148</v>
      </c>
      <c r="M13" s="40">
        <f t="shared" si="3"/>
        <v>0.1541255099852216</v>
      </c>
      <c r="N13" s="106">
        <v>69485192</v>
      </c>
      <c r="O13" s="107">
        <v>8768826</v>
      </c>
      <c r="P13" s="108">
        <f t="shared" si="4"/>
        <v>78254018</v>
      </c>
      <c r="Q13" s="40">
        <f t="shared" si="5"/>
        <v>0.09694420979575487</v>
      </c>
      <c r="R13" s="106">
        <v>63651635</v>
      </c>
      <c r="S13" s="108">
        <v>1937212</v>
      </c>
      <c r="T13" s="108">
        <f t="shared" si="6"/>
        <v>65588847</v>
      </c>
      <c r="U13" s="40">
        <f t="shared" si="7"/>
        <v>0.08125408900830712</v>
      </c>
      <c r="V13" s="106">
        <v>0</v>
      </c>
      <c r="W13" s="108">
        <v>0</v>
      </c>
      <c r="X13" s="108">
        <f t="shared" si="8"/>
        <v>0</v>
      </c>
      <c r="Y13" s="40">
        <f t="shared" si="9"/>
        <v>0</v>
      </c>
      <c r="Z13" s="78">
        <f t="shared" si="10"/>
        <v>253583233</v>
      </c>
      <c r="AA13" s="79">
        <f t="shared" si="11"/>
        <v>14670780</v>
      </c>
      <c r="AB13" s="79">
        <f t="shared" si="12"/>
        <v>268254013</v>
      </c>
      <c r="AC13" s="40">
        <f t="shared" si="13"/>
        <v>0.3323238087892836</v>
      </c>
      <c r="AD13" s="78">
        <v>103887100</v>
      </c>
      <c r="AE13" s="79">
        <v>7837147</v>
      </c>
      <c r="AF13" s="79">
        <f t="shared" si="14"/>
        <v>111724247</v>
      </c>
      <c r="AG13" s="40">
        <f>IF(712639364=0,0,277416251/712639364)</f>
        <v>0.38927999913291345</v>
      </c>
      <c r="AH13" s="40">
        <f t="shared" si="15"/>
        <v>-0.4129399055157651</v>
      </c>
      <c r="AI13" s="12">
        <v>717834130</v>
      </c>
      <c r="AJ13" s="12">
        <v>712639364</v>
      </c>
      <c r="AK13" s="12">
        <v>277416251</v>
      </c>
      <c r="AL13" s="12"/>
    </row>
    <row r="14" spans="1:38" s="13" customFormat="1" ht="12.75">
      <c r="A14" s="29" t="s">
        <v>95</v>
      </c>
      <c r="B14" s="61" t="s">
        <v>455</v>
      </c>
      <c r="C14" s="39" t="s">
        <v>456</v>
      </c>
      <c r="D14" s="78">
        <v>210606278</v>
      </c>
      <c r="E14" s="79">
        <v>59143000</v>
      </c>
      <c r="F14" s="80">
        <f t="shared" si="0"/>
        <v>269749278</v>
      </c>
      <c r="G14" s="78">
        <v>210606278</v>
      </c>
      <c r="H14" s="79">
        <v>59143000</v>
      </c>
      <c r="I14" s="81">
        <f t="shared" si="1"/>
        <v>269749278</v>
      </c>
      <c r="J14" s="78">
        <v>31471642</v>
      </c>
      <c r="K14" s="79">
        <v>4410617</v>
      </c>
      <c r="L14" s="79">
        <f t="shared" si="2"/>
        <v>35882259</v>
      </c>
      <c r="M14" s="40">
        <f t="shared" si="3"/>
        <v>0.13302077865061052</v>
      </c>
      <c r="N14" s="106">
        <v>33938127</v>
      </c>
      <c r="O14" s="107">
        <v>4197201</v>
      </c>
      <c r="P14" s="108">
        <f t="shared" si="4"/>
        <v>38135328</v>
      </c>
      <c r="Q14" s="40">
        <f t="shared" si="5"/>
        <v>0.14137323474133637</v>
      </c>
      <c r="R14" s="106">
        <v>63299470</v>
      </c>
      <c r="S14" s="108">
        <v>749326</v>
      </c>
      <c r="T14" s="108">
        <f t="shared" si="6"/>
        <v>64048796</v>
      </c>
      <c r="U14" s="40">
        <f t="shared" si="7"/>
        <v>0.23743824812016734</v>
      </c>
      <c r="V14" s="106">
        <v>0</v>
      </c>
      <c r="W14" s="108">
        <v>0</v>
      </c>
      <c r="X14" s="108">
        <f t="shared" si="8"/>
        <v>0</v>
      </c>
      <c r="Y14" s="40">
        <f t="shared" si="9"/>
        <v>0</v>
      </c>
      <c r="Z14" s="78">
        <f t="shared" si="10"/>
        <v>128709239</v>
      </c>
      <c r="AA14" s="79">
        <f t="shared" si="11"/>
        <v>9357144</v>
      </c>
      <c r="AB14" s="79">
        <f t="shared" si="12"/>
        <v>138066383</v>
      </c>
      <c r="AC14" s="40">
        <f t="shared" si="13"/>
        <v>0.5118322615121143</v>
      </c>
      <c r="AD14" s="78">
        <v>40934323</v>
      </c>
      <c r="AE14" s="79">
        <v>4970978</v>
      </c>
      <c r="AF14" s="79">
        <f t="shared" si="14"/>
        <v>45905301</v>
      </c>
      <c r="AG14" s="40">
        <f>IF(308696948=0,0,139040203/308696948)</f>
        <v>0.4504100345041312</v>
      </c>
      <c r="AH14" s="40">
        <f t="shared" si="15"/>
        <v>0.39523746941556914</v>
      </c>
      <c r="AI14" s="12">
        <v>273205693</v>
      </c>
      <c r="AJ14" s="12">
        <v>308696948</v>
      </c>
      <c r="AK14" s="12">
        <v>139040203</v>
      </c>
      <c r="AL14" s="12"/>
    </row>
    <row r="15" spans="1:38" s="13" customFormat="1" ht="12.75">
      <c r="A15" s="29" t="s">
        <v>95</v>
      </c>
      <c r="B15" s="61" t="s">
        <v>65</v>
      </c>
      <c r="C15" s="39" t="s">
        <v>66</v>
      </c>
      <c r="D15" s="78">
        <v>1605178416</v>
      </c>
      <c r="E15" s="79">
        <v>106439000</v>
      </c>
      <c r="F15" s="80">
        <f t="shared" si="0"/>
        <v>1711617416</v>
      </c>
      <c r="G15" s="78">
        <v>1826717408</v>
      </c>
      <c r="H15" s="79">
        <v>143718726</v>
      </c>
      <c r="I15" s="81">
        <f t="shared" si="1"/>
        <v>1970436134</v>
      </c>
      <c r="J15" s="78">
        <v>423852287</v>
      </c>
      <c r="K15" s="79">
        <v>15085751</v>
      </c>
      <c r="L15" s="79">
        <f t="shared" si="2"/>
        <v>438938038</v>
      </c>
      <c r="M15" s="40">
        <f t="shared" si="3"/>
        <v>0.2564463494568695</v>
      </c>
      <c r="N15" s="106">
        <v>295964980</v>
      </c>
      <c r="O15" s="107">
        <v>16027876</v>
      </c>
      <c r="P15" s="108">
        <f t="shared" si="4"/>
        <v>311992856</v>
      </c>
      <c r="Q15" s="40">
        <f t="shared" si="5"/>
        <v>0.18227955212626792</v>
      </c>
      <c r="R15" s="106">
        <v>366910452</v>
      </c>
      <c r="S15" s="108">
        <v>12093190</v>
      </c>
      <c r="T15" s="108">
        <f t="shared" si="6"/>
        <v>379003642</v>
      </c>
      <c r="U15" s="40">
        <f t="shared" si="7"/>
        <v>0.1923450526816212</v>
      </c>
      <c r="V15" s="106">
        <v>0</v>
      </c>
      <c r="W15" s="108">
        <v>0</v>
      </c>
      <c r="X15" s="108">
        <f t="shared" si="8"/>
        <v>0</v>
      </c>
      <c r="Y15" s="40">
        <f t="shared" si="9"/>
        <v>0</v>
      </c>
      <c r="Z15" s="78">
        <f t="shared" si="10"/>
        <v>1086727719</v>
      </c>
      <c r="AA15" s="79">
        <f t="shared" si="11"/>
        <v>43206817</v>
      </c>
      <c r="AB15" s="79">
        <f t="shared" si="12"/>
        <v>1129934536</v>
      </c>
      <c r="AC15" s="40">
        <f t="shared" si="13"/>
        <v>0.5734438769686102</v>
      </c>
      <c r="AD15" s="78">
        <v>402778987</v>
      </c>
      <c r="AE15" s="79">
        <v>11646632</v>
      </c>
      <c r="AF15" s="79">
        <f t="shared" si="14"/>
        <v>414425619</v>
      </c>
      <c r="AG15" s="40">
        <f>IF(1746469807=0,0,1094976502/1746469807)</f>
        <v>0.6269656066261442</v>
      </c>
      <c r="AH15" s="40">
        <f t="shared" si="15"/>
        <v>-0.08547245965505812</v>
      </c>
      <c r="AI15" s="12">
        <v>1975002215</v>
      </c>
      <c r="AJ15" s="12">
        <v>1746469807</v>
      </c>
      <c r="AK15" s="12">
        <v>1094976502</v>
      </c>
      <c r="AL15" s="12"/>
    </row>
    <row r="16" spans="1:38" s="13" customFormat="1" ht="12.75">
      <c r="A16" s="29" t="s">
        <v>114</v>
      </c>
      <c r="B16" s="61" t="s">
        <v>457</v>
      </c>
      <c r="C16" s="39" t="s">
        <v>458</v>
      </c>
      <c r="D16" s="78">
        <v>439181248</v>
      </c>
      <c r="E16" s="79">
        <v>21500000</v>
      </c>
      <c r="F16" s="80">
        <f t="shared" si="0"/>
        <v>460681248</v>
      </c>
      <c r="G16" s="78">
        <v>345751693</v>
      </c>
      <c r="H16" s="79">
        <v>10500000</v>
      </c>
      <c r="I16" s="81">
        <f t="shared" si="1"/>
        <v>356251693</v>
      </c>
      <c r="J16" s="78">
        <v>47697669</v>
      </c>
      <c r="K16" s="79">
        <v>522894</v>
      </c>
      <c r="L16" s="79">
        <f t="shared" si="2"/>
        <v>48220563</v>
      </c>
      <c r="M16" s="40">
        <f t="shared" si="3"/>
        <v>0.10467229393283227</v>
      </c>
      <c r="N16" s="106">
        <v>72723944</v>
      </c>
      <c r="O16" s="107">
        <v>159435</v>
      </c>
      <c r="P16" s="108">
        <f t="shared" si="4"/>
        <v>72883379</v>
      </c>
      <c r="Q16" s="40">
        <f t="shared" si="5"/>
        <v>0.15820782659684035</v>
      </c>
      <c r="R16" s="106">
        <v>66801797</v>
      </c>
      <c r="S16" s="108">
        <v>171900</v>
      </c>
      <c r="T16" s="108">
        <f t="shared" si="6"/>
        <v>66973697</v>
      </c>
      <c r="U16" s="40">
        <f t="shared" si="7"/>
        <v>0.18799544904899582</v>
      </c>
      <c r="V16" s="106">
        <v>0</v>
      </c>
      <c r="W16" s="108">
        <v>0</v>
      </c>
      <c r="X16" s="108">
        <f t="shared" si="8"/>
        <v>0</v>
      </c>
      <c r="Y16" s="40">
        <f t="shared" si="9"/>
        <v>0</v>
      </c>
      <c r="Z16" s="78">
        <f t="shared" si="10"/>
        <v>187223410</v>
      </c>
      <c r="AA16" s="79">
        <f t="shared" si="11"/>
        <v>854229</v>
      </c>
      <c r="AB16" s="79">
        <f t="shared" si="12"/>
        <v>188077639</v>
      </c>
      <c r="AC16" s="40">
        <f t="shared" si="13"/>
        <v>0.527934723386704</v>
      </c>
      <c r="AD16" s="78">
        <v>60664283</v>
      </c>
      <c r="AE16" s="79">
        <v>1003219</v>
      </c>
      <c r="AF16" s="79">
        <f t="shared" si="14"/>
        <v>61667502</v>
      </c>
      <c r="AG16" s="40">
        <f>IF(331476099=0,0,182187174/331476099)</f>
        <v>0.549623862925936</v>
      </c>
      <c r="AH16" s="40">
        <f t="shared" si="15"/>
        <v>0.08604523984123769</v>
      </c>
      <c r="AI16" s="12">
        <v>411433770</v>
      </c>
      <c r="AJ16" s="12">
        <v>331476099</v>
      </c>
      <c r="AK16" s="12">
        <v>182187174</v>
      </c>
      <c r="AL16" s="12"/>
    </row>
    <row r="17" spans="1:38" s="57" customFormat="1" ht="12.75">
      <c r="A17" s="62"/>
      <c r="B17" s="63" t="s">
        <v>459</v>
      </c>
      <c r="C17" s="32"/>
      <c r="D17" s="82">
        <f>SUM(D9:D16)</f>
        <v>4780781945</v>
      </c>
      <c r="E17" s="83">
        <f>SUM(E9:E16)</f>
        <v>554118768</v>
      </c>
      <c r="F17" s="91">
        <f t="shared" si="0"/>
        <v>5334900713</v>
      </c>
      <c r="G17" s="82">
        <f>SUM(G9:G16)</f>
        <v>4937035204</v>
      </c>
      <c r="H17" s="83">
        <f>SUM(H9:H16)</f>
        <v>699237423</v>
      </c>
      <c r="I17" s="84">
        <f t="shared" si="1"/>
        <v>5636272627</v>
      </c>
      <c r="J17" s="82">
        <f>SUM(J9:J16)</f>
        <v>943856759</v>
      </c>
      <c r="K17" s="83">
        <f>SUM(K9:K16)</f>
        <v>81535646</v>
      </c>
      <c r="L17" s="83">
        <f t="shared" si="2"/>
        <v>1025392405</v>
      </c>
      <c r="M17" s="44">
        <f t="shared" si="3"/>
        <v>0.19220459014379412</v>
      </c>
      <c r="N17" s="112">
        <f>SUM(N9:N16)</f>
        <v>782284028</v>
      </c>
      <c r="O17" s="113">
        <f>SUM(O9:O16)</f>
        <v>136430316</v>
      </c>
      <c r="P17" s="114">
        <f t="shared" si="4"/>
        <v>918714344</v>
      </c>
      <c r="Q17" s="44">
        <f t="shared" si="5"/>
        <v>0.17220833028087884</v>
      </c>
      <c r="R17" s="112">
        <f>SUM(R9:R16)</f>
        <v>932833683</v>
      </c>
      <c r="S17" s="114">
        <f>SUM(S9:S16)</f>
        <v>94290826</v>
      </c>
      <c r="T17" s="114">
        <f t="shared" si="6"/>
        <v>1027124509</v>
      </c>
      <c r="U17" s="44">
        <f t="shared" si="7"/>
        <v>0.1822347102373407</v>
      </c>
      <c r="V17" s="112">
        <f>SUM(V9:V16)</f>
        <v>0</v>
      </c>
      <c r="W17" s="114">
        <f>SUM(W9:W16)</f>
        <v>0</v>
      </c>
      <c r="X17" s="114">
        <f t="shared" si="8"/>
        <v>0</v>
      </c>
      <c r="Y17" s="44">
        <f t="shared" si="9"/>
        <v>0</v>
      </c>
      <c r="Z17" s="82">
        <f t="shared" si="10"/>
        <v>2658974470</v>
      </c>
      <c r="AA17" s="83">
        <f t="shared" si="11"/>
        <v>312256788</v>
      </c>
      <c r="AB17" s="83">
        <f t="shared" si="12"/>
        <v>2971231258</v>
      </c>
      <c r="AC17" s="44">
        <f t="shared" si="13"/>
        <v>0.5271624448694362</v>
      </c>
      <c r="AD17" s="82">
        <f>SUM(AD9:AD16)</f>
        <v>863039924</v>
      </c>
      <c r="AE17" s="83">
        <f>SUM(AE9:AE16)</f>
        <v>85672938</v>
      </c>
      <c r="AF17" s="83">
        <f t="shared" si="14"/>
        <v>948712862</v>
      </c>
      <c r="AG17" s="44">
        <f>IF(331476099=0,0,182187174/331476099)</f>
        <v>0.549623862925936</v>
      </c>
      <c r="AH17" s="44">
        <f t="shared" si="15"/>
        <v>0.08265055755088935</v>
      </c>
      <c r="AI17" s="64">
        <f>SUM(AI9:AI16)</f>
        <v>5367674217</v>
      </c>
      <c r="AJ17" s="64">
        <f>SUM(AJ9:AJ16)</f>
        <v>5163668700</v>
      </c>
      <c r="AK17" s="64">
        <f>SUM(AK9:AK16)</f>
        <v>2629033406</v>
      </c>
      <c r="AL17" s="64"/>
    </row>
    <row r="18" spans="1:38" s="13" customFormat="1" ht="12.75">
      <c r="A18" s="29" t="s">
        <v>95</v>
      </c>
      <c r="B18" s="61" t="s">
        <v>460</v>
      </c>
      <c r="C18" s="39" t="s">
        <v>461</v>
      </c>
      <c r="D18" s="78">
        <v>387762696</v>
      </c>
      <c r="E18" s="79">
        <v>57233004</v>
      </c>
      <c r="F18" s="80">
        <f t="shared" si="0"/>
        <v>444995700</v>
      </c>
      <c r="G18" s="78">
        <v>387762696</v>
      </c>
      <c r="H18" s="79">
        <v>57233004</v>
      </c>
      <c r="I18" s="81">
        <f t="shared" si="1"/>
        <v>444995700</v>
      </c>
      <c r="J18" s="78">
        <v>95100192</v>
      </c>
      <c r="K18" s="79">
        <v>170346</v>
      </c>
      <c r="L18" s="79">
        <f t="shared" si="2"/>
        <v>95270538</v>
      </c>
      <c r="M18" s="40">
        <f t="shared" si="3"/>
        <v>0.2140931653946319</v>
      </c>
      <c r="N18" s="106">
        <v>362542645</v>
      </c>
      <c r="O18" s="107">
        <v>86560</v>
      </c>
      <c r="P18" s="108">
        <f t="shared" si="4"/>
        <v>362629205</v>
      </c>
      <c r="Q18" s="40">
        <f t="shared" si="5"/>
        <v>0.8149049642502163</v>
      </c>
      <c r="R18" s="106">
        <v>482166914</v>
      </c>
      <c r="S18" s="108">
        <v>367883</v>
      </c>
      <c r="T18" s="108">
        <f t="shared" si="6"/>
        <v>482534797</v>
      </c>
      <c r="U18" s="40">
        <f t="shared" si="7"/>
        <v>1.0843583364962852</v>
      </c>
      <c r="V18" s="106">
        <v>0</v>
      </c>
      <c r="W18" s="108">
        <v>0</v>
      </c>
      <c r="X18" s="108">
        <f t="shared" si="8"/>
        <v>0</v>
      </c>
      <c r="Y18" s="40">
        <f t="shared" si="9"/>
        <v>0</v>
      </c>
      <c r="Z18" s="78">
        <f t="shared" si="10"/>
        <v>939809751</v>
      </c>
      <c r="AA18" s="79">
        <f t="shared" si="11"/>
        <v>624789</v>
      </c>
      <c r="AB18" s="79">
        <f t="shared" si="12"/>
        <v>940434540</v>
      </c>
      <c r="AC18" s="40">
        <f t="shared" si="13"/>
        <v>2.1133564661411337</v>
      </c>
      <c r="AD18" s="78">
        <v>46903569</v>
      </c>
      <c r="AE18" s="79">
        <v>6311558</v>
      </c>
      <c r="AF18" s="79">
        <f t="shared" si="14"/>
        <v>53215127</v>
      </c>
      <c r="AG18" s="40">
        <f>IF(291783797=0,0,199378099/291783797)</f>
        <v>0.6833076443926048</v>
      </c>
      <c r="AH18" s="40">
        <f t="shared" si="15"/>
        <v>8.067624643646909</v>
      </c>
      <c r="AI18" s="12">
        <v>267657613</v>
      </c>
      <c r="AJ18" s="12">
        <v>291783797</v>
      </c>
      <c r="AK18" s="12">
        <v>199378099</v>
      </c>
      <c r="AL18" s="12"/>
    </row>
    <row r="19" spans="1:38" s="13" customFormat="1" ht="12.75">
      <c r="A19" s="29" t="s">
        <v>95</v>
      </c>
      <c r="B19" s="61" t="s">
        <v>59</v>
      </c>
      <c r="C19" s="39" t="s">
        <v>60</v>
      </c>
      <c r="D19" s="78">
        <v>2381789401</v>
      </c>
      <c r="E19" s="79">
        <v>203042372</v>
      </c>
      <c r="F19" s="80">
        <f t="shared" si="0"/>
        <v>2584831773</v>
      </c>
      <c r="G19" s="78">
        <v>2264950319</v>
      </c>
      <c r="H19" s="79">
        <v>289920423</v>
      </c>
      <c r="I19" s="81">
        <f t="shared" si="1"/>
        <v>2554870742</v>
      </c>
      <c r="J19" s="78">
        <v>329408663</v>
      </c>
      <c r="K19" s="79">
        <v>30807260</v>
      </c>
      <c r="L19" s="79">
        <f t="shared" si="2"/>
        <v>360215923</v>
      </c>
      <c r="M19" s="40">
        <f t="shared" si="3"/>
        <v>0.1393575886688855</v>
      </c>
      <c r="N19" s="106">
        <v>417311910</v>
      </c>
      <c r="O19" s="107">
        <v>20024235</v>
      </c>
      <c r="P19" s="108">
        <f t="shared" si="4"/>
        <v>437336145</v>
      </c>
      <c r="Q19" s="40">
        <f t="shared" si="5"/>
        <v>0.16919327190582317</v>
      </c>
      <c r="R19" s="106">
        <v>256865220</v>
      </c>
      <c r="S19" s="108">
        <v>35803330</v>
      </c>
      <c r="T19" s="108">
        <f t="shared" si="6"/>
        <v>292668550</v>
      </c>
      <c r="U19" s="40">
        <f t="shared" si="7"/>
        <v>0.11455317296048162</v>
      </c>
      <c r="V19" s="106">
        <v>0</v>
      </c>
      <c r="W19" s="108">
        <v>0</v>
      </c>
      <c r="X19" s="108">
        <f t="shared" si="8"/>
        <v>0</v>
      </c>
      <c r="Y19" s="40">
        <f t="shared" si="9"/>
        <v>0</v>
      </c>
      <c r="Z19" s="78">
        <f t="shared" si="10"/>
        <v>1003585793</v>
      </c>
      <c r="AA19" s="79">
        <f t="shared" si="11"/>
        <v>86634825</v>
      </c>
      <c r="AB19" s="79">
        <f t="shared" si="12"/>
        <v>1090220618</v>
      </c>
      <c r="AC19" s="40">
        <f t="shared" si="13"/>
        <v>0.4267224169417491</v>
      </c>
      <c r="AD19" s="78">
        <v>351742285</v>
      </c>
      <c r="AE19" s="79">
        <v>28739139</v>
      </c>
      <c r="AF19" s="79">
        <f t="shared" si="14"/>
        <v>380481424</v>
      </c>
      <c r="AG19" s="40">
        <f>IF(2135595986=0,0,1141406678/2135595986)</f>
        <v>0.5344675142126812</v>
      </c>
      <c r="AH19" s="40">
        <f t="shared" si="15"/>
        <v>-0.2307941162457382</v>
      </c>
      <c r="AI19" s="12">
        <v>2081460612</v>
      </c>
      <c r="AJ19" s="12">
        <v>2135595986</v>
      </c>
      <c r="AK19" s="12">
        <v>1141406678</v>
      </c>
      <c r="AL19" s="12"/>
    </row>
    <row r="20" spans="1:38" s="13" customFormat="1" ht="12.75">
      <c r="A20" s="29" t="s">
        <v>95</v>
      </c>
      <c r="B20" s="61" t="s">
        <v>87</v>
      </c>
      <c r="C20" s="39" t="s">
        <v>88</v>
      </c>
      <c r="D20" s="78">
        <v>1402830102</v>
      </c>
      <c r="E20" s="79">
        <v>236368760</v>
      </c>
      <c r="F20" s="80">
        <f t="shared" si="0"/>
        <v>1639198862</v>
      </c>
      <c r="G20" s="78">
        <v>1402830102</v>
      </c>
      <c r="H20" s="79">
        <v>278127363</v>
      </c>
      <c r="I20" s="81">
        <f t="shared" si="1"/>
        <v>1680957465</v>
      </c>
      <c r="J20" s="78">
        <v>304671202</v>
      </c>
      <c r="K20" s="79">
        <v>22690997</v>
      </c>
      <c r="L20" s="79">
        <f t="shared" si="2"/>
        <v>327362199</v>
      </c>
      <c r="M20" s="40">
        <f t="shared" si="3"/>
        <v>0.1997086543853396</v>
      </c>
      <c r="N20" s="106">
        <v>299116518</v>
      </c>
      <c r="O20" s="107">
        <v>47734972</v>
      </c>
      <c r="P20" s="108">
        <f t="shared" si="4"/>
        <v>346851490</v>
      </c>
      <c r="Q20" s="40">
        <f t="shared" si="5"/>
        <v>0.21159817642674766</v>
      </c>
      <c r="R20" s="106">
        <v>286618676</v>
      </c>
      <c r="S20" s="108">
        <v>30732688</v>
      </c>
      <c r="T20" s="108">
        <f t="shared" si="6"/>
        <v>317351364</v>
      </c>
      <c r="U20" s="40">
        <f t="shared" si="7"/>
        <v>0.1887920251450265</v>
      </c>
      <c r="V20" s="106">
        <v>0</v>
      </c>
      <c r="W20" s="108">
        <v>0</v>
      </c>
      <c r="X20" s="108">
        <f t="shared" si="8"/>
        <v>0</v>
      </c>
      <c r="Y20" s="40">
        <f t="shared" si="9"/>
        <v>0</v>
      </c>
      <c r="Z20" s="78">
        <f t="shared" si="10"/>
        <v>890406396</v>
      </c>
      <c r="AA20" s="79">
        <f t="shared" si="11"/>
        <v>101158657</v>
      </c>
      <c r="AB20" s="79">
        <f t="shared" si="12"/>
        <v>991565053</v>
      </c>
      <c r="AC20" s="40">
        <f t="shared" si="13"/>
        <v>0.5898811086216271</v>
      </c>
      <c r="AD20" s="78">
        <v>285142439</v>
      </c>
      <c r="AE20" s="79">
        <v>54392485</v>
      </c>
      <c r="AF20" s="79">
        <f t="shared" si="14"/>
        <v>339534924</v>
      </c>
      <c r="AG20" s="40">
        <f>IF(1553563868=0,0,982569949/1553563868)</f>
        <v>0.6324618956701946</v>
      </c>
      <c r="AH20" s="40">
        <f t="shared" si="15"/>
        <v>-0.06533513471503749</v>
      </c>
      <c r="AI20" s="12">
        <v>1540285351</v>
      </c>
      <c r="AJ20" s="12">
        <v>1553563868</v>
      </c>
      <c r="AK20" s="12">
        <v>982569949</v>
      </c>
      <c r="AL20" s="12"/>
    </row>
    <row r="21" spans="1:38" s="13" customFormat="1" ht="12.75">
      <c r="A21" s="29" t="s">
        <v>95</v>
      </c>
      <c r="B21" s="61" t="s">
        <v>462</v>
      </c>
      <c r="C21" s="39" t="s">
        <v>463</v>
      </c>
      <c r="D21" s="78">
        <v>251642520</v>
      </c>
      <c r="E21" s="79">
        <v>35924900</v>
      </c>
      <c r="F21" s="81">
        <f t="shared" si="0"/>
        <v>287567420</v>
      </c>
      <c r="G21" s="78">
        <v>240274718</v>
      </c>
      <c r="H21" s="79">
        <v>35985826</v>
      </c>
      <c r="I21" s="81">
        <f t="shared" si="1"/>
        <v>276260544</v>
      </c>
      <c r="J21" s="78">
        <v>33015328</v>
      </c>
      <c r="K21" s="79">
        <v>21854</v>
      </c>
      <c r="L21" s="79">
        <f t="shared" si="2"/>
        <v>33037182</v>
      </c>
      <c r="M21" s="40">
        <f t="shared" si="3"/>
        <v>0.1148849963601579</v>
      </c>
      <c r="N21" s="106">
        <v>44847225</v>
      </c>
      <c r="O21" s="107">
        <v>6181173</v>
      </c>
      <c r="P21" s="108">
        <f t="shared" si="4"/>
        <v>51028398</v>
      </c>
      <c r="Q21" s="40">
        <f t="shared" si="5"/>
        <v>0.17744846756284144</v>
      </c>
      <c r="R21" s="106">
        <v>33476571</v>
      </c>
      <c r="S21" s="108">
        <v>638734</v>
      </c>
      <c r="T21" s="108">
        <f t="shared" si="6"/>
        <v>34115305</v>
      </c>
      <c r="U21" s="40">
        <f t="shared" si="7"/>
        <v>0.12348960335066886</v>
      </c>
      <c r="V21" s="106">
        <v>0</v>
      </c>
      <c r="W21" s="108">
        <v>0</v>
      </c>
      <c r="X21" s="108">
        <f t="shared" si="8"/>
        <v>0</v>
      </c>
      <c r="Y21" s="40">
        <f t="shared" si="9"/>
        <v>0</v>
      </c>
      <c r="Z21" s="78">
        <f t="shared" si="10"/>
        <v>111339124</v>
      </c>
      <c r="AA21" s="79">
        <f t="shared" si="11"/>
        <v>6841761</v>
      </c>
      <c r="AB21" s="79">
        <f t="shared" si="12"/>
        <v>118180885</v>
      </c>
      <c r="AC21" s="40">
        <f t="shared" si="13"/>
        <v>0.42778778065390327</v>
      </c>
      <c r="AD21" s="78">
        <v>31866542</v>
      </c>
      <c r="AE21" s="79">
        <v>2752472</v>
      </c>
      <c r="AF21" s="79">
        <f t="shared" si="14"/>
        <v>34619014</v>
      </c>
      <c r="AG21" s="40">
        <f>IF(246887312=0,0,104014461/246887312)</f>
        <v>0.42130338800075723</v>
      </c>
      <c r="AH21" s="40">
        <f t="shared" si="15"/>
        <v>-0.014550067774893871</v>
      </c>
      <c r="AI21" s="12">
        <v>250590874</v>
      </c>
      <c r="AJ21" s="12">
        <v>246887312</v>
      </c>
      <c r="AK21" s="12">
        <v>104014461</v>
      </c>
      <c r="AL21" s="12"/>
    </row>
    <row r="22" spans="1:38" s="13" customFormat="1" ht="12.75">
      <c r="A22" s="29" t="s">
        <v>95</v>
      </c>
      <c r="B22" s="61" t="s">
        <v>464</v>
      </c>
      <c r="C22" s="39" t="s">
        <v>465</v>
      </c>
      <c r="D22" s="78">
        <v>629943579</v>
      </c>
      <c r="E22" s="79">
        <v>116339135</v>
      </c>
      <c r="F22" s="80">
        <f t="shared" si="0"/>
        <v>746282714</v>
      </c>
      <c r="G22" s="78">
        <v>629943579</v>
      </c>
      <c r="H22" s="79">
        <v>116339135</v>
      </c>
      <c r="I22" s="81">
        <f t="shared" si="1"/>
        <v>746282714</v>
      </c>
      <c r="J22" s="78">
        <v>62411325</v>
      </c>
      <c r="K22" s="79">
        <v>47830282</v>
      </c>
      <c r="L22" s="79">
        <f t="shared" si="2"/>
        <v>110241607</v>
      </c>
      <c r="M22" s="40">
        <f t="shared" si="3"/>
        <v>0.14772097079552615</v>
      </c>
      <c r="N22" s="106">
        <v>106561555</v>
      </c>
      <c r="O22" s="107">
        <v>13873541</v>
      </c>
      <c r="P22" s="108">
        <f t="shared" si="4"/>
        <v>120435096</v>
      </c>
      <c r="Q22" s="40">
        <f t="shared" si="5"/>
        <v>0.16137998876388285</v>
      </c>
      <c r="R22" s="106">
        <v>83343888</v>
      </c>
      <c r="S22" s="108">
        <v>19483776</v>
      </c>
      <c r="T22" s="108">
        <f t="shared" si="6"/>
        <v>102827664</v>
      </c>
      <c r="U22" s="40">
        <f t="shared" si="7"/>
        <v>0.1377864743092522</v>
      </c>
      <c r="V22" s="106">
        <v>0</v>
      </c>
      <c r="W22" s="108">
        <v>0</v>
      </c>
      <c r="X22" s="108">
        <f t="shared" si="8"/>
        <v>0</v>
      </c>
      <c r="Y22" s="40">
        <f t="shared" si="9"/>
        <v>0</v>
      </c>
      <c r="Z22" s="78">
        <f t="shared" si="10"/>
        <v>252316768</v>
      </c>
      <c r="AA22" s="79">
        <f t="shared" si="11"/>
        <v>81187599</v>
      </c>
      <c r="AB22" s="79">
        <f t="shared" si="12"/>
        <v>333504367</v>
      </c>
      <c r="AC22" s="40">
        <f t="shared" si="13"/>
        <v>0.4468874338686612</v>
      </c>
      <c r="AD22" s="78">
        <v>35716901</v>
      </c>
      <c r="AE22" s="79">
        <v>16867536</v>
      </c>
      <c r="AF22" s="79">
        <f t="shared" si="14"/>
        <v>52584437</v>
      </c>
      <c r="AG22" s="40">
        <f>IF(471857785=0,0,205353735/471857785)</f>
        <v>0.43520260029195024</v>
      </c>
      <c r="AH22" s="40">
        <f t="shared" si="15"/>
        <v>0.9554771309998051</v>
      </c>
      <c r="AI22" s="12">
        <v>653023677</v>
      </c>
      <c r="AJ22" s="12">
        <v>471857785</v>
      </c>
      <c r="AK22" s="12">
        <v>205353735</v>
      </c>
      <c r="AL22" s="12"/>
    </row>
    <row r="23" spans="1:38" s="13" customFormat="1" ht="12.75">
      <c r="A23" s="29" t="s">
        <v>95</v>
      </c>
      <c r="B23" s="61" t="s">
        <v>466</v>
      </c>
      <c r="C23" s="39" t="s">
        <v>467</v>
      </c>
      <c r="D23" s="78">
        <v>545858532</v>
      </c>
      <c r="E23" s="79">
        <v>118050819</v>
      </c>
      <c r="F23" s="80">
        <f t="shared" si="0"/>
        <v>663909351</v>
      </c>
      <c r="G23" s="78">
        <v>657488573</v>
      </c>
      <c r="H23" s="79">
        <v>136184965</v>
      </c>
      <c r="I23" s="81">
        <f t="shared" si="1"/>
        <v>793673538</v>
      </c>
      <c r="J23" s="78">
        <v>81049247</v>
      </c>
      <c r="K23" s="79">
        <v>10416563</v>
      </c>
      <c r="L23" s="79">
        <f t="shared" si="2"/>
        <v>91465810</v>
      </c>
      <c r="M23" s="40">
        <f t="shared" si="3"/>
        <v>0.13776852195594394</v>
      </c>
      <c r="N23" s="106">
        <v>101017050</v>
      </c>
      <c r="O23" s="107">
        <v>36190658</v>
      </c>
      <c r="P23" s="108">
        <f t="shared" si="4"/>
        <v>137207708</v>
      </c>
      <c r="Q23" s="40">
        <f t="shared" si="5"/>
        <v>0.20666632845784394</v>
      </c>
      <c r="R23" s="106">
        <v>114383630</v>
      </c>
      <c r="S23" s="108">
        <v>17779886</v>
      </c>
      <c r="T23" s="108">
        <f t="shared" si="6"/>
        <v>132163516</v>
      </c>
      <c r="U23" s="40">
        <f t="shared" si="7"/>
        <v>0.16652125801377038</v>
      </c>
      <c r="V23" s="106">
        <v>0</v>
      </c>
      <c r="W23" s="108">
        <v>0</v>
      </c>
      <c r="X23" s="108">
        <f t="shared" si="8"/>
        <v>0</v>
      </c>
      <c r="Y23" s="40">
        <f t="shared" si="9"/>
        <v>0</v>
      </c>
      <c r="Z23" s="78">
        <f t="shared" si="10"/>
        <v>296449927</v>
      </c>
      <c r="AA23" s="79">
        <f t="shared" si="11"/>
        <v>64387107</v>
      </c>
      <c r="AB23" s="79">
        <f t="shared" si="12"/>
        <v>360837034</v>
      </c>
      <c r="AC23" s="40">
        <f t="shared" si="13"/>
        <v>0.4546416337746163</v>
      </c>
      <c r="AD23" s="78">
        <v>85588074</v>
      </c>
      <c r="AE23" s="79">
        <v>21762807</v>
      </c>
      <c r="AF23" s="79">
        <f t="shared" si="14"/>
        <v>107350881</v>
      </c>
      <c r="AG23" s="40">
        <f>IF(647082581=0,0,351781604/647082581)</f>
        <v>0.5436425184809603</v>
      </c>
      <c r="AH23" s="40">
        <f t="shared" si="15"/>
        <v>0.23113583017544115</v>
      </c>
      <c r="AI23" s="12">
        <v>647147982</v>
      </c>
      <c r="AJ23" s="12">
        <v>647082581</v>
      </c>
      <c r="AK23" s="12">
        <v>351781604</v>
      </c>
      <c r="AL23" s="12"/>
    </row>
    <row r="24" spans="1:38" s="13" customFormat="1" ht="12.75">
      <c r="A24" s="29" t="s">
        <v>114</v>
      </c>
      <c r="B24" s="61" t="s">
        <v>468</v>
      </c>
      <c r="C24" s="39" t="s">
        <v>469</v>
      </c>
      <c r="D24" s="78">
        <v>452249827</v>
      </c>
      <c r="E24" s="79">
        <v>58186817</v>
      </c>
      <c r="F24" s="80">
        <f t="shared" si="0"/>
        <v>510436644</v>
      </c>
      <c r="G24" s="78">
        <v>428101924</v>
      </c>
      <c r="H24" s="79">
        <v>56488191</v>
      </c>
      <c r="I24" s="81">
        <f t="shared" si="1"/>
        <v>484590115</v>
      </c>
      <c r="J24" s="78">
        <v>52740111</v>
      </c>
      <c r="K24" s="79">
        <v>2427948</v>
      </c>
      <c r="L24" s="79">
        <f t="shared" si="2"/>
        <v>55168059</v>
      </c>
      <c r="M24" s="40">
        <f t="shared" si="3"/>
        <v>0.10808013031290128</v>
      </c>
      <c r="N24" s="106">
        <v>83917295</v>
      </c>
      <c r="O24" s="107">
        <v>3515504</v>
      </c>
      <c r="P24" s="108">
        <f t="shared" si="4"/>
        <v>87432799</v>
      </c>
      <c r="Q24" s="40">
        <f t="shared" si="5"/>
        <v>0.17129020815362936</v>
      </c>
      <c r="R24" s="106">
        <v>55054134</v>
      </c>
      <c r="S24" s="108">
        <v>9293088</v>
      </c>
      <c r="T24" s="108">
        <f t="shared" si="6"/>
        <v>64347222</v>
      </c>
      <c r="U24" s="40">
        <f t="shared" si="7"/>
        <v>0.13278690589881306</v>
      </c>
      <c r="V24" s="106">
        <v>0</v>
      </c>
      <c r="W24" s="108">
        <v>0</v>
      </c>
      <c r="X24" s="108">
        <f t="shared" si="8"/>
        <v>0</v>
      </c>
      <c r="Y24" s="40">
        <f t="shared" si="9"/>
        <v>0</v>
      </c>
      <c r="Z24" s="78">
        <f t="shared" si="10"/>
        <v>191711540</v>
      </c>
      <c r="AA24" s="79">
        <f t="shared" si="11"/>
        <v>15236540</v>
      </c>
      <c r="AB24" s="79">
        <f t="shared" si="12"/>
        <v>206948080</v>
      </c>
      <c r="AC24" s="40">
        <f t="shared" si="13"/>
        <v>0.4270579889975676</v>
      </c>
      <c r="AD24" s="78">
        <v>67681409</v>
      </c>
      <c r="AE24" s="79">
        <v>5864778</v>
      </c>
      <c r="AF24" s="79">
        <f t="shared" si="14"/>
        <v>73546187</v>
      </c>
      <c r="AG24" s="40">
        <f>IF(465413272=0,0,204721476/465413272)</f>
        <v>0.4398703009053854</v>
      </c>
      <c r="AH24" s="40">
        <f t="shared" si="15"/>
        <v>-0.12507738844435268</v>
      </c>
      <c r="AI24" s="12">
        <v>522243038</v>
      </c>
      <c r="AJ24" s="12">
        <v>465413272</v>
      </c>
      <c r="AK24" s="12">
        <v>204721476</v>
      </c>
      <c r="AL24" s="12"/>
    </row>
    <row r="25" spans="1:38" s="57" customFormat="1" ht="12.75">
      <c r="A25" s="62"/>
      <c r="B25" s="63" t="s">
        <v>470</v>
      </c>
      <c r="C25" s="32"/>
      <c r="D25" s="82">
        <f>SUM(D18:D24)</f>
        <v>6052076657</v>
      </c>
      <c r="E25" s="83">
        <f>SUM(E18:E24)</f>
        <v>825145807</v>
      </c>
      <c r="F25" s="91">
        <f t="shared" si="0"/>
        <v>6877222464</v>
      </c>
      <c r="G25" s="82">
        <f>SUM(G18:G24)</f>
        <v>6011351911</v>
      </c>
      <c r="H25" s="83">
        <f>SUM(H18:H24)</f>
        <v>970278907</v>
      </c>
      <c r="I25" s="84">
        <f t="shared" si="1"/>
        <v>6981630818</v>
      </c>
      <c r="J25" s="82">
        <f>SUM(J18:J24)</f>
        <v>958396068</v>
      </c>
      <c r="K25" s="83">
        <f>SUM(K18:K24)</f>
        <v>114365250</v>
      </c>
      <c r="L25" s="83">
        <f t="shared" si="2"/>
        <v>1072761318</v>
      </c>
      <c r="M25" s="44">
        <f t="shared" si="3"/>
        <v>0.15598758417595956</v>
      </c>
      <c r="N25" s="112">
        <f>SUM(N18:N24)</f>
        <v>1415314198</v>
      </c>
      <c r="O25" s="113">
        <f>SUM(O18:O24)</f>
        <v>127606643</v>
      </c>
      <c r="P25" s="114">
        <f t="shared" si="4"/>
        <v>1542920841</v>
      </c>
      <c r="Q25" s="44">
        <f t="shared" si="5"/>
        <v>0.22435232378720968</v>
      </c>
      <c r="R25" s="112">
        <f>SUM(R18:R24)</f>
        <v>1311909033</v>
      </c>
      <c r="S25" s="114">
        <f>SUM(S18:S24)</f>
        <v>114099385</v>
      </c>
      <c r="T25" s="114">
        <f t="shared" si="6"/>
        <v>1426008418</v>
      </c>
      <c r="U25" s="44">
        <f t="shared" si="7"/>
        <v>0.2042514786550262</v>
      </c>
      <c r="V25" s="112">
        <f>SUM(V18:V24)</f>
        <v>0</v>
      </c>
      <c r="W25" s="114">
        <f>SUM(W18:W24)</f>
        <v>0</v>
      </c>
      <c r="X25" s="114">
        <f t="shared" si="8"/>
        <v>0</v>
      </c>
      <c r="Y25" s="44">
        <f t="shared" si="9"/>
        <v>0</v>
      </c>
      <c r="Z25" s="82">
        <f t="shared" si="10"/>
        <v>3685619299</v>
      </c>
      <c r="AA25" s="83">
        <f t="shared" si="11"/>
        <v>356071278</v>
      </c>
      <c r="AB25" s="83">
        <f t="shared" si="12"/>
        <v>4041690577</v>
      </c>
      <c r="AC25" s="44">
        <f t="shared" si="13"/>
        <v>0.5789035087016828</v>
      </c>
      <c r="AD25" s="82">
        <f>SUM(AD18:AD24)</f>
        <v>904641219</v>
      </c>
      <c r="AE25" s="83">
        <f>SUM(AE18:AE24)</f>
        <v>136690775</v>
      </c>
      <c r="AF25" s="83">
        <f t="shared" si="14"/>
        <v>1041331994</v>
      </c>
      <c r="AG25" s="44">
        <f>IF(465413272=0,0,204721476/465413272)</f>
        <v>0.4398703009053854</v>
      </c>
      <c r="AH25" s="44">
        <f t="shared" si="15"/>
        <v>0.36940805258692544</v>
      </c>
      <c r="AI25" s="64">
        <f>SUM(AI18:AI24)</f>
        <v>5962409147</v>
      </c>
      <c r="AJ25" s="64">
        <f>SUM(AJ18:AJ24)</f>
        <v>5812184601</v>
      </c>
      <c r="AK25" s="64">
        <f>SUM(AK18:AK24)</f>
        <v>3189226002</v>
      </c>
      <c r="AL25" s="64"/>
    </row>
    <row r="26" spans="1:38" s="13" customFormat="1" ht="12.75">
      <c r="A26" s="29" t="s">
        <v>95</v>
      </c>
      <c r="B26" s="61" t="s">
        <v>471</v>
      </c>
      <c r="C26" s="39" t="s">
        <v>472</v>
      </c>
      <c r="D26" s="78">
        <v>483121789</v>
      </c>
      <c r="E26" s="79">
        <v>44278149</v>
      </c>
      <c r="F26" s="80">
        <f t="shared" si="0"/>
        <v>527399938</v>
      </c>
      <c r="G26" s="78">
        <v>527333713</v>
      </c>
      <c r="H26" s="79">
        <v>44505000</v>
      </c>
      <c r="I26" s="81">
        <f t="shared" si="1"/>
        <v>571838713</v>
      </c>
      <c r="J26" s="78">
        <v>120239147</v>
      </c>
      <c r="K26" s="79">
        <v>0</v>
      </c>
      <c r="L26" s="79">
        <f t="shared" si="2"/>
        <v>120239147</v>
      </c>
      <c r="M26" s="40">
        <f t="shared" si="3"/>
        <v>0.227984757556039</v>
      </c>
      <c r="N26" s="106">
        <v>109791908</v>
      </c>
      <c r="O26" s="107">
        <v>24175807</v>
      </c>
      <c r="P26" s="108">
        <f t="shared" si="4"/>
        <v>133967715</v>
      </c>
      <c r="Q26" s="40">
        <f t="shared" si="5"/>
        <v>0.25401541666468685</v>
      </c>
      <c r="R26" s="106">
        <v>91115372</v>
      </c>
      <c r="S26" s="108">
        <v>772113</v>
      </c>
      <c r="T26" s="108">
        <f t="shared" si="6"/>
        <v>91887485</v>
      </c>
      <c r="U26" s="40">
        <f t="shared" si="7"/>
        <v>0.1606877654678829</v>
      </c>
      <c r="V26" s="106">
        <v>0</v>
      </c>
      <c r="W26" s="108">
        <v>0</v>
      </c>
      <c r="X26" s="108">
        <f t="shared" si="8"/>
        <v>0</v>
      </c>
      <c r="Y26" s="40">
        <f t="shared" si="9"/>
        <v>0</v>
      </c>
      <c r="Z26" s="78">
        <f t="shared" si="10"/>
        <v>321146427</v>
      </c>
      <c r="AA26" s="79">
        <f t="shared" si="11"/>
        <v>24947920</v>
      </c>
      <c r="AB26" s="79">
        <f t="shared" si="12"/>
        <v>346094347</v>
      </c>
      <c r="AC26" s="40">
        <f t="shared" si="13"/>
        <v>0.6052307042737766</v>
      </c>
      <c r="AD26" s="78">
        <v>90625769</v>
      </c>
      <c r="AE26" s="79">
        <v>23767562</v>
      </c>
      <c r="AF26" s="79">
        <f t="shared" si="14"/>
        <v>114393331</v>
      </c>
      <c r="AG26" s="40">
        <f>IF(515753910=0,0,333202317/515753910)</f>
        <v>0.6460490372239738</v>
      </c>
      <c r="AH26" s="40">
        <f t="shared" si="15"/>
        <v>-0.19674089217666024</v>
      </c>
      <c r="AI26" s="12">
        <v>473794535</v>
      </c>
      <c r="AJ26" s="12">
        <v>515753910</v>
      </c>
      <c r="AK26" s="12">
        <v>333202317</v>
      </c>
      <c r="AL26" s="12"/>
    </row>
    <row r="27" spans="1:38" s="13" customFormat="1" ht="12.75">
      <c r="A27" s="29" t="s">
        <v>95</v>
      </c>
      <c r="B27" s="61" t="s">
        <v>71</v>
      </c>
      <c r="C27" s="39" t="s">
        <v>72</v>
      </c>
      <c r="D27" s="78">
        <v>2181544665</v>
      </c>
      <c r="E27" s="79">
        <v>582415965</v>
      </c>
      <c r="F27" s="80">
        <f t="shared" si="0"/>
        <v>2763960630</v>
      </c>
      <c r="G27" s="78">
        <v>2284858964</v>
      </c>
      <c r="H27" s="79">
        <v>807538205</v>
      </c>
      <c r="I27" s="81">
        <f t="shared" si="1"/>
        <v>3092397169</v>
      </c>
      <c r="J27" s="78">
        <v>462473330</v>
      </c>
      <c r="K27" s="79">
        <v>112463734</v>
      </c>
      <c r="L27" s="79">
        <f t="shared" si="2"/>
        <v>574937064</v>
      </c>
      <c r="M27" s="40">
        <f t="shared" si="3"/>
        <v>0.20801203090942724</v>
      </c>
      <c r="N27" s="106">
        <v>568387053</v>
      </c>
      <c r="O27" s="107">
        <v>146103174</v>
      </c>
      <c r="P27" s="108">
        <f t="shared" si="4"/>
        <v>714490227</v>
      </c>
      <c r="Q27" s="40">
        <f t="shared" si="5"/>
        <v>0.2585023170174461</v>
      </c>
      <c r="R27" s="106">
        <v>585750232</v>
      </c>
      <c r="S27" s="108">
        <v>91134015</v>
      </c>
      <c r="T27" s="108">
        <f t="shared" si="6"/>
        <v>676884247</v>
      </c>
      <c r="U27" s="40">
        <f t="shared" si="7"/>
        <v>0.21888658215881324</v>
      </c>
      <c r="V27" s="106">
        <v>0</v>
      </c>
      <c r="W27" s="108">
        <v>0</v>
      </c>
      <c r="X27" s="108">
        <f t="shared" si="8"/>
        <v>0</v>
      </c>
      <c r="Y27" s="40">
        <f t="shared" si="9"/>
        <v>0</v>
      </c>
      <c r="Z27" s="78">
        <f t="shared" si="10"/>
        <v>1616610615</v>
      </c>
      <c r="AA27" s="79">
        <f t="shared" si="11"/>
        <v>349700923</v>
      </c>
      <c r="AB27" s="79">
        <f t="shared" si="12"/>
        <v>1966311538</v>
      </c>
      <c r="AC27" s="40">
        <f t="shared" si="13"/>
        <v>0.6358534918190517</v>
      </c>
      <c r="AD27" s="78">
        <v>403125682</v>
      </c>
      <c r="AE27" s="79">
        <v>126291236</v>
      </c>
      <c r="AF27" s="79">
        <f t="shared" si="14"/>
        <v>529416918</v>
      </c>
      <c r="AG27" s="40">
        <f>IF(2671753103=0,0,1749154519/2671753103)</f>
        <v>0.6546841910788641</v>
      </c>
      <c r="AH27" s="40">
        <f t="shared" si="15"/>
        <v>0.2785466878487628</v>
      </c>
      <c r="AI27" s="12">
        <v>2440970843</v>
      </c>
      <c r="AJ27" s="12">
        <v>2671753103</v>
      </c>
      <c r="AK27" s="12">
        <v>1749154519</v>
      </c>
      <c r="AL27" s="12"/>
    </row>
    <row r="28" spans="1:38" s="13" customFormat="1" ht="12.75">
      <c r="A28" s="29" t="s">
        <v>95</v>
      </c>
      <c r="B28" s="61" t="s">
        <v>473</v>
      </c>
      <c r="C28" s="39" t="s">
        <v>474</v>
      </c>
      <c r="D28" s="78">
        <v>286305646</v>
      </c>
      <c r="E28" s="79">
        <v>118380578</v>
      </c>
      <c r="F28" s="80">
        <f t="shared" si="0"/>
        <v>404686224</v>
      </c>
      <c r="G28" s="78">
        <v>286305646</v>
      </c>
      <c r="H28" s="79">
        <v>116266578</v>
      </c>
      <c r="I28" s="81">
        <f t="shared" si="1"/>
        <v>402572224</v>
      </c>
      <c r="J28" s="78">
        <v>51955483</v>
      </c>
      <c r="K28" s="79">
        <v>20784525</v>
      </c>
      <c r="L28" s="79">
        <f t="shared" si="2"/>
        <v>72740008</v>
      </c>
      <c r="M28" s="40">
        <f t="shared" si="3"/>
        <v>0.17974421585450362</v>
      </c>
      <c r="N28" s="106">
        <v>55086891</v>
      </c>
      <c r="O28" s="107">
        <v>39253379</v>
      </c>
      <c r="P28" s="108">
        <f t="shared" si="4"/>
        <v>94340270</v>
      </c>
      <c r="Q28" s="40">
        <f t="shared" si="5"/>
        <v>0.23311954893725267</v>
      </c>
      <c r="R28" s="106">
        <v>57547764</v>
      </c>
      <c r="S28" s="108">
        <v>16082447</v>
      </c>
      <c r="T28" s="108">
        <f t="shared" si="6"/>
        <v>73630211</v>
      </c>
      <c r="U28" s="40">
        <f t="shared" si="7"/>
        <v>0.18289938204976605</v>
      </c>
      <c r="V28" s="106">
        <v>0</v>
      </c>
      <c r="W28" s="108">
        <v>0</v>
      </c>
      <c r="X28" s="108">
        <f t="shared" si="8"/>
        <v>0</v>
      </c>
      <c r="Y28" s="40">
        <f t="shared" si="9"/>
        <v>0</v>
      </c>
      <c r="Z28" s="78">
        <f t="shared" si="10"/>
        <v>164590138</v>
      </c>
      <c r="AA28" s="79">
        <f t="shared" si="11"/>
        <v>76120351</v>
      </c>
      <c r="AB28" s="79">
        <f t="shared" si="12"/>
        <v>240710489</v>
      </c>
      <c r="AC28" s="40">
        <f t="shared" si="13"/>
        <v>0.597931190106151</v>
      </c>
      <c r="AD28" s="78">
        <v>45665677</v>
      </c>
      <c r="AE28" s="79">
        <v>11838492</v>
      </c>
      <c r="AF28" s="79">
        <f t="shared" si="14"/>
        <v>57504169</v>
      </c>
      <c r="AG28" s="40">
        <f>IF(323927917=0,0,163358025/323927917)</f>
        <v>0.5043036318478225</v>
      </c>
      <c r="AH28" s="40">
        <f t="shared" si="15"/>
        <v>0.280432571767101</v>
      </c>
      <c r="AI28" s="12">
        <v>313328917</v>
      </c>
      <c r="AJ28" s="12">
        <v>323927917</v>
      </c>
      <c r="AK28" s="12">
        <v>163358025</v>
      </c>
      <c r="AL28" s="12"/>
    </row>
    <row r="29" spans="1:38" s="13" customFormat="1" ht="12.75">
      <c r="A29" s="29" t="s">
        <v>95</v>
      </c>
      <c r="B29" s="61" t="s">
        <v>475</v>
      </c>
      <c r="C29" s="39" t="s">
        <v>476</v>
      </c>
      <c r="D29" s="78">
        <v>582320987</v>
      </c>
      <c r="E29" s="79">
        <v>413179261</v>
      </c>
      <c r="F29" s="80">
        <f t="shared" si="0"/>
        <v>995500248</v>
      </c>
      <c r="G29" s="78">
        <v>582320987</v>
      </c>
      <c r="H29" s="79">
        <v>413179261</v>
      </c>
      <c r="I29" s="81">
        <f t="shared" si="1"/>
        <v>995500248</v>
      </c>
      <c r="J29" s="78">
        <v>121258363</v>
      </c>
      <c r="K29" s="79">
        <v>30445035</v>
      </c>
      <c r="L29" s="79">
        <f t="shared" si="2"/>
        <v>151703398</v>
      </c>
      <c r="M29" s="40">
        <f t="shared" si="3"/>
        <v>0.15238911120793613</v>
      </c>
      <c r="N29" s="106">
        <v>155059196</v>
      </c>
      <c r="O29" s="107">
        <v>83339679</v>
      </c>
      <c r="P29" s="108">
        <f t="shared" si="4"/>
        <v>238398875</v>
      </c>
      <c r="Q29" s="40">
        <f t="shared" si="5"/>
        <v>0.23947645967839076</v>
      </c>
      <c r="R29" s="106">
        <v>94819046</v>
      </c>
      <c r="S29" s="108">
        <v>53330087</v>
      </c>
      <c r="T29" s="108">
        <f t="shared" si="6"/>
        <v>148149133</v>
      </c>
      <c r="U29" s="40">
        <f t="shared" si="7"/>
        <v>0.14881878060566792</v>
      </c>
      <c r="V29" s="106">
        <v>0</v>
      </c>
      <c r="W29" s="108">
        <v>0</v>
      </c>
      <c r="X29" s="108">
        <f t="shared" si="8"/>
        <v>0</v>
      </c>
      <c r="Y29" s="40">
        <f t="shared" si="9"/>
        <v>0</v>
      </c>
      <c r="Z29" s="78">
        <f t="shared" si="10"/>
        <v>371136605</v>
      </c>
      <c r="AA29" s="79">
        <f t="shared" si="11"/>
        <v>167114801</v>
      </c>
      <c r="AB29" s="79">
        <f t="shared" si="12"/>
        <v>538251406</v>
      </c>
      <c r="AC29" s="40">
        <f t="shared" si="13"/>
        <v>0.5406843514919948</v>
      </c>
      <c r="AD29" s="78">
        <v>107519410</v>
      </c>
      <c r="AE29" s="79">
        <v>40189388</v>
      </c>
      <c r="AF29" s="79">
        <f t="shared" si="14"/>
        <v>147708798</v>
      </c>
      <c r="AG29" s="40">
        <f>IF(826905159=0,0,500145627/826905159)</f>
        <v>0.6048403756542532</v>
      </c>
      <c r="AH29" s="40">
        <f t="shared" si="15"/>
        <v>0.002981102046473838</v>
      </c>
      <c r="AI29" s="12">
        <v>812389309</v>
      </c>
      <c r="AJ29" s="12">
        <v>826905159</v>
      </c>
      <c r="AK29" s="12">
        <v>500145627</v>
      </c>
      <c r="AL29" s="12"/>
    </row>
    <row r="30" spans="1:38" s="13" customFormat="1" ht="12.75">
      <c r="A30" s="29" t="s">
        <v>95</v>
      </c>
      <c r="B30" s="61" t="s">
        <v>477</v>
      </c>
      <c r="C30" s="39" t="s">
        <v>478</v>
      </c>
      <c r="D30" s="78">
        <v>858560000</v>
      </c>
      <c r="E30" s="79">
        <v>460915000</v>
      </c>
      <c r="F30" s="80">
        <f t="shared" si="0"/>
        <v>1319475000</v>
      </c>
      <c r="G30" s="78">
        <v>908033344</v>
      </c>
      <c r="H30" s="79">
        <v>482649838</v>
      </c>
      <c r="I30" s="81">
        <f t="shared" si="1"/>
        <v>1390683182</v>
      </c>
      <c r="J30" s="78">
        <v>160869560</v>
      </c>
      <c r="K30" s="79">
        <v>26138915</v>
      </c>
      <c r="L30" s="79">
        <f t="shared" si="2"/>
        <v>187008475</v>
      </c>
      <c r="M30" s="40">
        <f t="shared" si="3"/>
        <v>0.14172945679152693</v>
      </c>
      <c r="N30" s="106">
        <v>296409545</v>
      </c>
      <c r="O30" s="107">
        <v>86533441</v>
      </c>
      <c r="P30" s="108">
        <f t="shared" si="4"/>
        <v>382942986</v>
      </c>
      <c r="Q30" s="40">
        <f t="shared" si="5"/>
        <v>0.2902237526288865</v>
      </c>
      <c r="R30" s="106">
        <v>207960680</v>
      </c>
      <c r="S30" s="108">
        <v>203580565</v>
      </c>
      <c r="T30" s="108">
        <f t="shared" si="6"/>
        <v>411541245</v>
      </c>
      <c r="U30" s="40">
        <f t="shared" si="7"/>
        <v>0.2959273904557796</v>
      </c>
      <c r="V30" s="106">
        <v>0</v>
      </c>
      <c r="W30" s="108">
        <v>0</v>
      </c>
      <c r="X30" s="108">
        <f t="shared" si="8"/>
        <v>0</v>
      </c>
      <c r="Y30" s="40">
        <f t="shared" si="9"/>
        <v>0</v>
      </c>
      <c r="Z30" s="78">
        <f t="shared" si="10"/>
        <v>665239785</v>
      </c>
      <c r="AA30" s="79">
        <f t="shared" si="11"/>
        <v>316252921</v>
      </c>
      <c r="AB30" s="79">
        <f t="shared" si="12"/>
        <v>981492706</v>
      </c>
      <c r="AC30" s="40">
        <f t="shared" si="13"/>
        <v>0.7057629794504842</v>
      </c>
      <c r="AD30" s="78">
        <v>136318374</v>
      </c>
      <c r="AE30" s="79">
        <v>46557136</v>
      </c>
      <c r="AF30" s="79">
        <f t="shared" si="14"/>
        <v>182875510</v>
      </c>
      <c r="AG30" s="40">
        <f>IF(1310679437=0,0,714911436/1310679437)</f>
        <v>0.5454510201490252</v>
      </c>
      <c r="AH30" s="40">
        <f t="shared" si="15"/>
        <v>1.2503901424526442</v>
      </c>
      <c r="AI30" s="12">
        <v>1155991000</v>
      </c>
      <c r="AJ30" s="12">
        <v>1310679437</v>
      </c>
      <c r="AK30" s="12">
        <v>714911436</v>
      </c>
      <c r="AL30" s="12"/>
    </row>
    <row r="31" spans="1:38" s="13" customFormat="1" ht="12.75">
      <c r="A31" s="29" t="s">
        <v>114</v>
      </c>
      <c r="B31" s="61" t="s">
        <v>479</v>
      </c>
      <c r="C31" s="39" t="s">
        <v>480</v>
      </c>
      <c r="D31" s="78">
        <v>215234961</v>
      </c>
      <c r="E31" s="79">
        <v>56197419</v>
      </c>
      <c r="F31" s="81">
        <f t="shared" si="0"/>
        <v>271432380</v>
      </c>
      <c r="G31" s="78">
        <v>216826075</v>
      </c>
      <c r="H31" s="79">
        <v>25747686</v>
      </c>
      <c r="I31" s="81">
        <f t="shared" si="1"/>
        <v>242573761</v>
      </c>
      <c r="J31" s="78">
        <v>35121206</v>
      </c>
      <c r="K31" s="79">
        <v>1975283</v>
      </c>
      <c r="L31" s="79">
        <f t="shared" si="2"/>
        <v>37096489</v>
      </c>
      <c r="M31" s="40">
        <f t="shared" si="3"/>
        <v>0.13666935757627738</v>
      </c>
      <c r="N31" s="106">
        <v>58222416</v>
      </c>
      <c r="O31" s="107">
        <v>3640085</v>
      </c>
      <c r="P31" s="108">
        <f t="shared" si="4"/>
        <v>61862501</v>
      </c>
      <c r="Q31" s="40">
        <f t="shared" si="5"/>
        <v>0.22791127941331096</v>
      </c>
      <c r="R31" s="106">
        <v>37439902</v>
      </c>
      <c r="S31" s="108">
        <v>7366019</v>
      </c>
      <c r="T31" s="108">
        <f t="shared" si="6"/>
        <v>44805921</v>
      </c>
      <c r="U31" s="40">
        <f t="shared" si="7"/>
        <v>0.18471050131427857</v>
      </c>
      <c r="V31" s="106">
        <v>0</v>
      </c>
      <c r="W31" s="108">
        <v>0</v>
      </c>
      <c r="X31" s="108">
        <f t="shared" si="8"/>
        <v>0</v>
      </c>
      <c r="Y31" s="40">
        <f t="shared" si="9"/>
        <v>0</v>
      </c>
      <c r="Z31" s="78">
        <f t="shared" si="10"/>
        <v>130783524</v>
      </c>
      <c r="AA31" s="79">
        <f t="shared" si="11"/>
        <v>12981387</v>
      </c>
      <c r="AB31" s="79">
        <f t="shared" si="12"/>
        <v>143764911</v>
      </c>
      <c r="AC31" s="40">
        <f t="shared" si="13"/>
        <v>0.5926647235353704</v>
      </c>
      <c r="AD31" s="78">
        <v>31671224</v>
      </c>
      <c r="AE31" s="79">
        <v>1981494</v>
      </c>
      <c r="AF31" s="79">
        <f t="shared" si="14"/>
        <v>33652718</v>
      </c>
      <c r="AG31" s="40">
        <f>IF(228525439=0,0,130052643/228525439)</f>
        <v>0.5690948174920692</v>
      </c>
      <c r="AH31" s="40">
        <f t="shared" si="15"/>
        <v>0.3314205705464861</v>
      </c>
      <c r="AI31" s="12">
        <v>276363050</v>
      </c>
      <c r="AJ31" s="12">
        <v>228525439</v>
      </c>
      <c r="AK31" s="12">
        <v>130052643</v>
      </c>
      <c r="AL31" s="12"/>
    </row>
    <row r="32" spans="1:38" s="57" customFormat="1" ht="12.75">
      <c r="A32" s="62"/>
      <c r="B32" s="63" t="s">
        <v>481</v>
      </c>
      <c r="C32" s="32"/>
      <c r="D32" s="82">
        <f>SUM(D26:D31)</f>
        <v>4607088048</v>
      </c>
      <c r="E32" s="83">
        <f>SUM(E26:E31)</f>
        <v>1675366372</v>
      </c>
      <c r="F32" s="84">
        <f t="shared" si="0"/>
        <v>6282454420</v>
      </c>
      <c r="G32" s="82">
        <f>SUM(G26:G31)</f>
        <v>4805678729</v>
      </c>
      <c r="H32" s="83">
        <f>SUM(H26:H31)</f>
        <v>1889886568</v>
      </c>
      <c r="I32" s="91">
        <f t="shared" si="1"/>
        <v>6695565297</v>
      </c>
      <c r="J32" s="82">
        <f>SUM(J26:J31)</f>
        <v>951917089</v>
      </c>
      <c r="K32" s="93">
        <f>SUM(K26:K31)</f>
        <v>191807492</v>
      </c>
      <c r="L32" s="83">
        <f t="shared" si="2"/>
        <v>1143724581</v>
      </c>
      <c r="M32" s="44">
        <f t="shared" si="3"/>
        <v>0.18205059751153754</v>
      </c>
      <c r="N32" s="112">
        <f>SUM(N26:N31)</f>
        <v>1242957009</v>
      </c>
      <c r="O32" s="113">
        <f>SUM(O26:O31)</f>
        <v>383045565</v>
      </c>
      <c r="P32" s="114">
        <f t="shared" si="4"/>
        <v>1626002574</v>
      </c>
      <c r="Q32" s="44">
        <f t="shared" si="5"/>
        <v>0.25881645377699375</v>
      </c>
      <c r="R32" s="112">
        <f>SUM(R26:R31)</f>
        <v>1074632996</v>
      </c>
      <c r="S32" s="114">
        <f>SUM(S26:S31)</f>
        <v>372265246</v>
      </c>
      <c r="T32" s="114">
        <f t="shared" si="6"/>
        <v>1446898242</v>
      </c>
      <c r="U32" s="44">
        <f t="shared" si="7"/>
        <v>0.21609799588517103</v>
      </c>
      <c r="V32" s="112">
        <f>SUM(V26:V31)</f>
        <v>0</v>
      </c>
      <c r="W32" s="114">
        <f>SUM(W26:W31)</f>
        <v>0</v>
      </c>
      <c r="X32" s="114">
        <f t="shared" si="8"/>
        <v>0</v>
      </c>
      <c r="Y32" s="44">
        <f t="shared" si="9"/>
        <v>0</v>
      </c>
      <c r="Z32" s="82">
        <f t="shared" si="10"/>
        <v>3269507094</v>
      </c>
      <c r="AA32" s="83">
        <f t="shared" si="11"/>
        <v>947118303</v>
      </c>
      <c r="AB32" s="83">
        <f t="shared" si="12"/>
        <v>4216625397</v>
      </c>
      <c r="AC32" s="44">
        <f t="shared" si="13"/>
        <v>0.6297639123748509</v>
      </c>
      <c r="AD32" s="82">
        <f>SUM(AD26:AD31)</f>
        <v>814926136</v>
      </c>
      <c r="AE32" s="83">
        <f>SUM(AE26:AE31)</f>
        <v>250625308</v>
      </c>
      <c r="AF32" s="83">
        <f t="shared" si="14"/>
        <v>1065551444</v>
      </c>
      <c r="AG32" s="44">
        <f>IF(228525439=0,0,130052643/228525439)</f>
        <v>0.5690948174920692</v>
      </c>
      <c r="AH32" s="44">
        <f t="shared" si="15"/>
        <v>0.3578868013809382</v>
      </c>
      <c r="AI32" s="64">
        <f>SUM(AI26:AI31)</f>
        <v>5472837654</v>
      </c>
      <c r="AJ32" s="64">
        <f>SUM(AJ26:AJ31)</f>
        <v>5877544965</v>
      </c>
      <c r="AK32" s="64">
        <f>SUM(AK26:AK31)</f>
        <v>3590824567</v>
      </c>
      <c r="AL32" s="64"/>
    </row>
    <row r="33" spans="1:38" s="57" customFormat="1" ht="12.75">
      <c r="A33" s="62"/>
      <c r="B33" s="63" t="s">
        <v>482</v>
      </c>
      <c r="C33" s="32"/>
      <c r="D33" s="82">
        <f>SUM(D9:D16,D18:D24,D26:D31)</f>
        <v>15439946650</v>
      </c>
      <c r="E33" s="83">
        <f>SUM(E9:E16,E18:E24,E26:E31)</f>
        <v>3054630947</v>
      </c>
      <c r="F33" s="91">
        <f t="shared" si="0"/>
        <v>18494577597</v>
      </c>
      <c r="G33" s="82">
        <f>SUM(G9:G16,G18:G24,G26:G31)</f>
        <v>15754065844</v>
      </c>
      <c r="H33" s="83">
        <f>SUM(H9:H16,H18:H24,H26:H31)</f>
        <v>3559402898</v>
      </c>
      <c r="I33" s="84">
        <f t="shared" si="1"/>
        <v>19313468742</v>
      </c>
      <c r="J33" s="82">
        <f>SUM(J9:J16,J18:J24,J26:J31)</f>
        <v>2854169916</v>
      </c>
      <c r="K33" s="83">
        <f>SUM(K9:K16,K18:K24,K26:K31)</f>
        <v>387708388</v>
      </c>
      <c r="L33" s="83">
        <f t="shared" si="2"/>
        <v>3241878304</v>
      </c>
      <c r="M33" s="44">
        <f t="shared" si="3"/>
        <v>0.17528804250851687</v>
      </c>
      <c r="N33" s="112">
        <f>SUM(N9:N16,N18:N24,N26:N31)</f>
        <v>3440555235</v>
      </c>
      <c r="O33" s="113">
        <f>SUM(O9:O16,O18:O24,O26:O31)</f>
        <v>647082524</v>
      </c>
      <c r="P33" s="114">
        <f t="shared" si="4"/>
        <v>4087637759</v>
      </c>
      <c r="Q33" s="44">
        <f t="shared" si="5"/>
        <v>0.22101817343820032</v>
      </c>
      <c r="R33" s="112">
        <f>SUM(R9:R16,R18:R24,R26:R31)</f>
        <v>3319375712</v>
      </c>
      <c r="S33" s="114">
        <f>SUM(S9:S16,S18:S24,S26:S31)</f>
        <v>580655457</v>
      </c>
      <c r="T33" s="114">
        <f t="shared" si="6"/>
        <v>3900031169</v>
      </c>
      <c r="U33" s="44">
        <f t="shared" si="7"/>
        <v>0.20193323224837412</v>
      </c>
      <c r="V33" s="112">
        <f>SUM(V9:V16,V18:V24,V26:V31)</f>
        <v>0</v>
      </c>
      <c r="W33" s="114">
        <f>SUM(W9:W16,W18:W24,W26:W31)</f>
        <v>0</v>
      </c>
      <c r="X33" s="114">
        <f t="shared" si="8"/>
        <v>0</v>
      </c>
      <c r="Y33" s="44">
        <f t="shared" si="9"/>
        <v>0</v>
      </c>
      <c r="Z33" s="82">
        <f t="shared" si="10"/>
        <v>9614100863</v>
      </c>
      <c r="AA33" s="83">
        <f t="shared" si="11"/>
        <v>1615446369</v>
      </c>
      <c r="AB33" s="83">
        <f t="shared" si="12"/>
        <v>11229547232</v>
      </c>
      <c r="AC33" s="44">
        <f t="shared" si="13"/>
        <v>0.5814360631956126</v>
      </c>
      <c r="AD33" s="82">
        <f>SUM(AD9:AD16,AD18:AD24,AD26:AD31)</f>
        <v>2582607279</v>
      </c>
      <c r="AE33" s="83">
        <f>SUM(AE9:AE16,AE18:AE24,AE26:AE31)</f>
        <v>472989021</v>
      </c>
      <c r="AF33" s="83">
        <f t="shared" si="14"/>
        <v>3055596300</v>
      </c>
      <c r="AG33" s="44">
        <f>IF(228525439=0,0,130052643/228525439)</f>
        <v>0.5690948174920692</v>
      </c>
      <c r="AH33" s="44">
        <f t="shared" si="15"/>
        <v>0.27635681748927365</v>
      </c>
      <c r="AI33" s="64">
        <f>SUM(AI9:AI16,AI18:AI24,AI26:AI31)</f>
        <v>16802921018</v>
      </c>
      <c r="AJ33" s="64">
        <f>SUM(AJ9:AJ16,AJ18:AJ24,AJ26:AJ31)</f>
        <v>16853398266</v>
      </c>
      <c r="AK33" s="64">
        <f>SUM(AK9:AK16,AK18:AK24,AK26:AK31)</f>
        <v>9409083975</v>
      </c>
      <c r="AL33" s="64"/>
    </row>
    <row r="34" spans="1:38" s="13" customFormat="1" ht="12.75">
      <c r="A34" s="65"/>
      <c r="B34" s="66"/>
      <c r="C34" s="67"/>
      <c r="D34" s="94"/>
      <c r="E34" s="94"/>
      <c r="F34" s="95"/>
      <c r="G34" s="96"/>
      <c r="H34" s="94"/>
      <c r="I34" s="97"/>
      <c r="J34" s="96"/>
      <c r="K34" s="98"/>
      <c r="L34" s="94"/>
      <c r="M34" s="71"/>
      <c r="N34" s="96"/>
      <c r="O34" s="98"/>
      <c r="P34" s="94"/>
      <c r="Q34" s="71"/>
      <c r="R34" s="96"/>
      <c r="S34" s="98"/>
      <c r="T34" s="94"/>
      <c r="U34" s="71"/>
      <c r="V34" s="96"/>
      <c r="W34" s="98"/>
      <c r="X34" s="94"/>
      <c r="Y34" s="71"/>
      <c r="Z34" s="96"/>
      <c r="AA34" s="98"/>
      <c r="AB34" s="94"/>
      <c r="AC34" s="71"/>
      <c r="AD34" s="96"/>
      <c r="AE34" s="94"/>
      <c r="AF34" s="94"/>
      <c r="AG34" s="71"/>
      <c r="AH34" s="71"/>
      <c r="AI34" s="12"/>
      <c r="AJ34" s="12"/>
      <c r="AK34" s="12"/>
      <c r="AL34" s="12"/>
    </row>
    <row r="35" spans="1:38" s="13" customFormat="1" ht="12.75">
      <c r="A35" s="12"/>
      <c r="B35" s="58"/>
      <c r="C35" s="12"/>
      <c r="D35" s="89"/>
      <c r="E35" s="89"/>
      <c r="F35" s="89"/>
      <c r="G35" s="89"/>
      <c r="H35" s="89"/>
      <c r="I35" s="89"/>
      <c r="J35" s="89"/>
      <c r="K35" s="89"/>
      <c r="L35" s="89"/>
      <c r="M35" s="12"/>
      <c r="N35" s="89"/>
      <c r="O35" s="89"/>
      <c r="P35" s="89"/>
      <c r="Q35" s="12"/>
      <c r="R35" s="89"/>
      <c r="S35" s="89"/>
      <c r="T35" s="89"/>
      <c r="U35" s="12"/>
      <c r="V35" s="89"/>
      <c r="W35" s="89"/>
      <c r="X35" s="89"/>
      <c r="Y35" s="12"/>
      <c r="Z35" s="89"/>
      <c r="AA35" s="89"/>
      <c r="AB35" s="89"/>
      <c r="AC35" s="12"/>
      <c r="AD35" s="89"/>
      <c r="AE35" s="89"/>
      <c r="AF35" s="89"/>
      <c r="AG35" s="12"/>
      <c r="AH35" s="12"/>
      <c r="AI35" s="12"/>
      <c r="AJ35" s="12"/>
      <c r="AK35" s="12"/>
      <c r="AL35" s="12"/>
    </row>
    <row r="36" spans="1:38" ht="12.75">
      <c r="A36" s="2"/>
      <c r="B36" s="2"/>
      <c r="C36" s="2"/>
      <c r="D36" s="90"/>
      <c r="E36" s="90"/>
      <c r="F36" s="90"/>
      <c r="G36" s="90"/>
      <c r="H36" s="90"/>
      <c r="I36" s="90"/>
      <c r="J36" s="90"/>
      <c r="K36" s="90"/>
      <c r="L36" s="90"/>
      <c r="M36" s="2"/>
      <c r="N36" s="90"/>
      <c r="O36" s="90"/>
      <c r="P36" s="90"/>
      <c r="Q36" s="2"/>
      <c r="R36" s="90"/>
      <c r="S36" s="90"/>
      <c r="T36" s="90"/>
      <c r="U36" s="2"/>
      <c r="V36" s="90"/>
      <c r="W36" s="90"/>
      <c r="X36" s="90"/>
      <c r="Y36" s="2"/>
      <c r="Z36" s="90"/>
      <c r="AA36" s="90"/>
      <c r="AB36" s="90"/>
      <c r="AC36" s="2"/>
      <c r="AD36" s="90"/>
      <c r="AE36" s="90"/>
      <c r="AF36" s="90"/>
      <c r="AG36" s="2"/>
      <c r="AH36" s="2"/>
      <c r="AI36" s="2"/>
      <c r="AJ36" s="2"/>
      <c r="AK36" s="2"/>
      <c r="AL36" s="2"/>
    </row>
    <row r="37" spans="1:38" ht="12.75">
      <c r="A37" s="2"/>
      <c r="B37" s="2"/>
      <c r="C37" s="2"/>
      <c r="D37" s="90"/>
      <c r="E37" s="90"/>
      <c r="F37" s="90"/>
      <c r="G37" s="90"/>
      <c r="H37" s="90"/>
      <c r="I37" s="90"/>
      <c r="J37" s="90"/>
      <c r="K37" s="90"/>
      <c r="L37" s="90"/>
      <c r="M37" s="2"/>
      <c r="N37" s="90"/>
      <c r="O37" s="90"/>
      <c r="P37" s="90"/>
      <c r="Q37" s="2"/>
      <c r="R37" s="90"/>
      <c r="S37" s="90"/>
      <c r="T37" s="90"/>
      <c r="U37" s="2"/>
      <c r="V37" s="90"/>
      <c r="W37" s="90"/>
      <c r="X37" s="90"/>
      <c r="Y37" s="2"/>
      <c r="Z37" s="90"/>
      <c r="AA37" s="90"/>
      <c r="AB37" s="90"/>
      <c r="AC37" s="2"/>
      <c r="AD37" s="90"/>
      <c r="AE37" s="90"/>
      <c r="AF37" s="90"/>
      <c r="AG37" s="2"/>
      <c r="AH37" s="2"/>
      <c r="AI37" s="2"/>
      <c r="AJ37" s="2"/>
      <c r="AK37" s="2"/>
      <c r="AL37" s="2"/>
    </row>
    <row r="38" spans="1:38" ht="12.75">
      <c r="A38" s="2"/>
      <c r="B38" s="2"/>
      <c r="C38" s="2"/>
      <c r="D38" s="90"/>
      <c r="E38" s="90"/>
      <c r="F38" s="90"/>
      <c r="G38" s="90"/>
      <c r="H38" s="90"/>
      <c r="I38" s="90"/>
      <c r="J38" s="90"/>
      <c r="K38" s="90"/>
      <c r="L38" s="90"/>
      <c r="M38" s="2"/>
      <c r="N38" s="90"/>
      <c r="O38" s="90"/>
      <c r="P38" s="90"/>
      <c r="Q38" s="2"/>
      <c r="R38" s="90"/>
      <c r="S38" s="90"/>
      <c r="T38" s="90"/>
      <c r="U38" s="2"/>
      <c r="V38" s="90"/>
      <c r="W38" s="90"/>
      <c r="X38" s="90"/>
      <c r="Y38" s="2"/>
      <c r="Z38" s="90"/>
      <c r="AA38" s="90"/>
      <c r="AB38" s="90"/>
      <c r="AC38" s="2"/>
      <c r="AD38" s="90"/>
      <c r="AE38" s="90"/>
      <c r="AF38" s="90"/>
      <c r="AG38" s="2"/>
      <c r="AH38" s="2"/>
      <c r="AI38" s="2"/>
      <c r="AJ38" s="2"/>
      <c r="AK38" s="2"/>
      <c r="AL38" s="2"/>
    </row>
    <row r="39" spans="1:38" ht="12.75">
      <c r="A39" s="2"/>
      <c r="B39" s="2"/>
      <c r="C39" s="2"/>
      <c r="D39" s="90"/>
      <c r="E39" s="90"/>
      <c r="F39" s="90"/>
      <c r="G39" s="90"/>
      <c r="H39" s="90"/>
      <c r="I39" s="90"/>
      <c r="J39" s="90"/>
      <c r="K39" s="90"/>
      <c r="L39" s="90"/>
      <c r="M39" s="2"/>
      <c r="N39" s="90"/>
      <c r="O39" s="90"/>
      <c r="P39" s="90"/>
      <c r="Q39" s="2"/>
      <c r="R39" s="90"/>
      <c r="S39" s="90"/>
      <c r="T39" s="90"/>
      <c r="U39" s="2"/>
      <c r="V39" s="90"/>
      <c r="W39" s="90"/>
      <c r="X39" s="90"/>
      <c r="Y39" s="2"/>
      <c r="Z39" s="90"/>
      <c r="AA39" s="90"/>
      <c r="AB39" s="90"/>
      <c r="AC39" s="2"/>
      <c r="AD39" s="90"/>
      <c r="AE39" s="90"/>
      <c r="AF39" s="90"/>
      <c r="AG39" s="2"/>
      <c r="AH39" s="2"/>
      <c r="AI39" s="2"/>
      <c r="AJ39" s="2"/>
      <c r="AK39" s="2"/>
      <c r="AL39" s="2"/>
    </row>
    <row r="40" spans="1:38" ht="12.75">
      <c r="A40" s="2"/>
      <c r="B40" s="2"/>
      <c r="C40" s="2"/>
      <c r="D40" s="90"/>
      <c r="E40" s="90"/>
      <c r="F40" s="90"/>
      <c r="G40" s="90"/>
      <c r="H40" s="90"/>
      <c r="I40" s="90"/>
      <c r="J40" s="90"/>
      <c r="K40" s="90"/>
      <c r="L40" s="90"/>
      <c r="M40" s="2"/>
      <c r="N40" s="90"/>
      <c r="O40" s="90"/>
      <c r="P40" s="90"/>
      <c r="Q40" s="2"/>
      <c r="R40" s="90"/>
      <c r="S40" s="90"/>
      <c r="T40" s="90"/>
      <c r="U40" s="2"/>
      <c r="V40" s="90"/>
      <c r="W40" s="90"/>
      <c r="X40" s="90"/>
      <c r="Y40" s="2"/>
      <c r="Z40" s="90"/>
      <c r="AA40" s="90"/>
      <c r="AB40" s="90"/>
      <c r="AC40" s="2"/>
      <c r="AD40" s="90"/>
      <c r="AE40" s="90"/>
      <c r="AF40" s="90"/>
      <c r="AG40" s="2"/>
      <c r="AH40" s="2"/>
      <c r="AI40" s="2"/>
      <c r="AJ40" s="2"/>
      <c r="AK40" s="2"/>
      <c r="AL40" s="2"/>
    </row>
    <row r="41" spans="1:38" ht="12.75">
      <c r="A41" s="2"/>
      <c r="B41" s="2"/>
      <c r="C41" s="2"/>
      <c r="D41" s="90"/>
      <c r="E41" s="90"/>
      <c r="F41" s="90"/>
      <c r="G41" s="90"/>
      <c r="H41" s="90"/>
      <c r="I41" s="90"/>
      <c r="J41" s="90"/>
      <c r="K41" s="90"/>
      <c r="L41" s="90"/>
      <c r="M41" s="2"/>
      <c r="N41" s="90"/>
      <c r="O41" s="90"/>
      <c r="P41" s="90"/>
      <c r="Q41" s="2"/>
      <c r="R41" s="90"/>
      <c r="S41" s="90"/>
      <c r="T41" s="90"/>
      <c r="U41" s="2"/>
      <c r="V41" s="90"/>
      <c r="W41" s="90"/>
      <c r="X41" s="90"/>
      <c r="Y41" s="2"/>
      <c r="Z41" s="90"/>
      <c r="AA41" s="90"/>
      <c r="AB41" s="90"/>
      <c r="AC41" s="2"/>
      <c r="AD41" s="90"/>
      <c r="AE41" s="90"/>
      <c r="AF41" s="90"/>
      <c r="AG41" s="2"/>
      <c r="AH41" s="2"/>
      <c r="AI41" s="2"/>
      <c r="AJ41" s="2"/>
      <c r="AK41" s="2"/>
      <c r="AL41" s="2"/>
    </row>
    <row r="42" spans="1:38" ht="12.75">
      <c r="A42" s="2"/>
      <c r="B42" s="2"/>
      <c r="C42" s="2"/>
      <c r="D42" s="90"/>
      <c r="E42" s="90"/>
      <c r="F42" s="90"/>
      <c r="G42" s="90"/>
      <c r="H42" s="90"/>
      <c r="I42" s="90"/>
      <c r="J42" s="90"/>
      <c r="K42" s="90"/>
      <c r="L42" s="90"/>
      <c r="M42" s="2"/>
      <c r="N42" s="90"/>
      <c r="O42" s="90"/>
      <c r="P42" s="90"/>
      <c r="Q42" s="2"/>
      <c r="R42" s="90"/>
      <c r="S42" s="90"/>
      <c r="T42" s="90"/>
      <c r="U42" s="2"/>
      <c r="V42" s="90"/>
      <c r="W42" s="90"/>
      <c r="X42" s="90"/>
      <c r="Y42" s="2"/>
      <c r="Z42" s="90"/>
      <c r="AA42" s="90"/>
      <c r="AB42" s="90"/>
      <c r="AC42" s="2"/>
      <c r="AD42" s="90"/>
      <c r="AE42" s="90"/>
      <c r="AF42" s="90"/>
      <c r="AG42" s="2"/>
      <c r="AH42" s="2"/>
      <c r="AI42" s="2"/>
      <c r="AJ42" s="2"/>
      <c r="AK42" s="2"/>
      <c r="AL42" s="2"/>
    </row>
    <row r="43" spans="1:38" ht="12.75">
      <c r="A43" s="2"/>
      <c r="B43" s="2"/>
      <c r="C43" s="2"/>
      <c r="D43" s="90"/>
      <c r="E43" s="90"/>
      <c r="F43" s="90"/>
      <c r="G43" s="90"/>
      <c r="H43" s="90"/>
      <c r="I43" s="90"/>
      <c r="J43" s="90"/>
      <c r="K43" s="90"/>
      <c r="L43" s="90"/>
      <c r="M43" s="2"/>
      <c r="N43" s="90"/>
      <c r="O43" s="90"/>
      <c r="P43" s="90"/>
      <c r="Q43" s="2"/>
      <c r="R43" s="90"/>
      <c r="S43" s="90"/>
      <c r="T43" s="90"/>
      <c r="U43" s="2"/>
      <c r="V43" s="90"/>
      <c r="W43" s="90"/>
      <c r="X43" s="90"/>
      <c r="Y43" s="2"/>
      <c r="Z43" s="90"/>
      <c r="AA43" s="90"/>
      <c r="AB43" s="90"/>
      <c r="AC43" s="2"/>
      <c r="AD43" s="90"/>
      <c r="AE43" s="90"/>
      <c r="AF43" s="90"/>
      <c r="AG43" s="2"/>
      <c r="AH43" s="2"/>
      <c r="AI43" s="2"/>
      <c r="AJ43" s="2"/>
      <c r="AK43" s="2"/>
      <c r="AL43" s="2"/>
    </row>
    <row r="44" spans="1:38" ht="12.75">
      <c r="A44" s="2"/>
      <c r="B44" s="2"/>
      <c r="C44" s="2"/>
      <c r="D44" s="90"/>
      <c r="E44" s="90"/>
      <c r="F44" s="90"/>
      <c r="G44" s="90"/>
      <c r="H44" s="90"/>
      <c r="I44" s="90"/>
      <c r="J44" s="90"/>
      <c r="K44" s="90"/>
      <c r="L44" s="90"/>
      <c r="M44" s="2"/>
      <c r="N44" s="90"/>
      <c r="O44" s="90"/>
      <c r="P44" s="90"/>
      <c r="Q44" s="2"/>
      <c r="R44" s="90"/>
      <c r="S44" s="90"/>
      <c r="T44" s="90"/>
      <c r="U44" s="2"/>
      <c r="V44" s="90"/>
      <c r="W44" s="90"/>
      <c r="X44" s="90"/>
      <c r="Y44" s="2"/>
      <c r="Z44" s="90"/>
      <c r="AA44" s="90"/>
      <c r="AB44" s="90"/>
      <c r="AC44" s="2"/>
      <c r="AD44" s="90"/>
      <c r="AE44" s="90"/>
      <c r="AF44" s="90"/>
      <c r="AG44" s="2"/>
      <c r="AH44" s="2"/>
      <c r="AI44" s="2"/>
      <c r="AJ44" s="2"/>
      <c r="AK44" s="2"/>
      <c r="AL44" s="2"/>
    </row>
    <row r="45" spans="1:38" ht="12.75">
      <c r="A45" s="2"/>
      <c r="B45" s="2"/>
      <c r="C45" s="2"/>
      <c r="D45" s="90"/>
      <c r="E45" s="90"/>
      <c r="F45" s="90"/>
      <c r="G45" s="90"/>
      <c r="H45" s="90"/>
      <c r="I45" s="90"/>
      <c r="J45" s="90"/>
      <c r="K45" s="90"/>
      <c r="L45" s="90"/>
      <c r="M45" s="2"/>
      <c r="N45" s="90"/>
      <c r="O45" s="90"/>
      <c r="P45" s="90"/>
      <c r="Q45" s="2"/>
      <c r="R45" s="90"/>
      <c r="S45" s="90"/>
      <c r="T45" s="90"/>
      <c r="U45" s="2"/>
      <c r="V45" s="90"/>
      <c r="W45" s="90"/>
      <c r="X45" s="90"/>
      <c r="Y45" s="2"/>
      <c r="Z45" s="90"/>
      <c r="AA45" s="90"/>
      <c r="AB45" s="90"/>
      <c r="AC45" s="2"/>
      <c r="AD45" s="90"/>
      <c r="AE45" s="90"/>
      <c r="AF45" s="90"/>
      <c r="AG45" s="2"/>
      <c r="AH45" s="2"/>
      <c r="AI45" s="2"/>
      <c r="AJ45" s="2"/>
      <c r="AK45" s="2"/>
      <c r="AL45" s="2"/>
    </row>
    <row r="46" spans="1:38" ht="12.75">
      <c r="A46" s="2"/>
      <c r="B46" s="2"/>
      <c r="C46" s="2"/>
      <c r="D46" s="90"/>
      <c r="E46" s="90"/>
      <c r="F46" s="90"/>
      <c r="G46" s="90"/>
      <c r="H46" s="90"/>
      <c r="I46" s="90"/>
      <c r="J46" s="90"/>
      <c r="K46" s="90"/>
      <c r="L46" s="90"/>
      <c r="M46" s="2"/>
      <c r="N46" s="90"/>
      <c r="O46" s="90"/>
      <c r="P46" s="90"/>
      <c r="Q46" s="2"/>
      <c r="R46" s="90"/>
      <c r="S46" s="90"/>
      <c r="T46" s="90"/>
      <c r="U46" s="2"/>
      <c r="V46" s="90"/>
      <c r="W46" s="90"/>
      <c r="X46" s="90"/>
      <c r="Y46" s="2"/>
      <c r="Z46" s="90"/>
      <c r="AA46" s="90"/>
      <c r="AB46" s="90"/>
      <c r="AC46" s="2"/>
      <c r="AD46" s="90"/>
      <c r="AE46" s="90"/>
      <c r="AF46" s="90"/>
      <c r="AG46" s="2"/>
      <c r="AH46" s="2"/>
      <c r="AI46" s="2"/>
      <c r="AJ46" s="2"/>
      <c r="AK46" s="2"/>
      <c r="AL46" s="2"/>
    </row>
    <row r="47" spans="1:38" ht="12.75">
      <c r="A47" s="2"/>
      <c r="B47" s="2"/>
      <c r="C47" s="2"/>
      <c r="D47" s="90"/>
      <c r="E47" s="90"/>
      <c r="F47" s="90"/>
      <c r="G47" s="90"/>
      <c r="H47" s="90"/>
      <c r="I47" s="90"/>
      <c r="J47" s="90"/>
      <c r="K47" s="90"/>
      <c r="L47" s="90"/>
      <c r="M47" s="2"/>
      <c r="N47" s="90"/>
      <c r="O47" s="90"/>
      <c r="P47" s="90"/>
      <c r="Q47" s="2"/>
      <c r="R47" s="90"/>
      <c r="S47" s="90"/>
      <c r="T47" s="90"/>
      <c r="U47" s="2"/>
      <c r="V47" s="90"/>
      <c r="W47" s="90"/>
      <c r="X47" s="90"/>
      <c r="Y47" s="2"/>
      <c r="Z47" s="90"/>
      <c r="AA47" s="90"/>
      <c r="AB47" s="90"/>
      <c r="AC47" s="2"/>
      <c r="AD47" s="90"/>
      <c r="AE47" s="90"/>
      <c r="AF47" s="90"/>
      <c r="AG47" s="2"/>
      <c r="AH47" s="2"/>
      <c r="AI47" s="2"/>
      <c r="AJ47" s="2"/>
      <c r="AK47" s="2"/>
      <c r="AL47" s="2"/>
    </row>
    <row r="48" spans="1:38" ht="12.75">
      <c r="A48" s="2"/>
      <c r="B48" s="2"/>
      <c r="C48" s="2"/>
      <c r="D48" s="90"/>
      <c r="E48" s="90"/>
      <c r="F48" s="90"/>
      <c r="G48" s="90"/>
      <c r="H48" s="90"/>
      <c r="I48" s="90"/>
      <c r="J48" s="90"/>
      <c r="K48" s="90"/>
      <c r="L48" s="90"/>
      <c r="M48" s="2"/>
      <c r="N48" s="90"/>
      <c r="O48" s="90"/>
      <c r="P48" s="90"/>
      <c r="Q48" s="2"/>
      <c r="R48" s="90"/>
      <c r="S48" s="90"/>
      <c r="T48" s="90"/>
      <c r="U48" s="2"/>
      <c r="V48" s="90"/>
      <c r="W48" s="90"/>
      <c r="X48" s="90"/>
      <c r="Y48" s="2"/>
      <c r="Z48" s="90"/>
      <c r="AA48" s="90"/>
      <c r="AB48" s="90"/>
      <c r="AC48" s="2"/>
      <c r="AD48" s="90"/>
      <c r="AE48" s="90"/>
      <c r="AF48" s="90"/>
      <c r="AG48" s="2"/>
      <c r="AH48" s="2"/>
      <c r="AI48" s="2"/>
      <c r="AJ48" s="2"/>
      <c r="AK48" s="2"/>
      <c r="AL48" s="2"/>
    </row>
    <row r="49" spans="1:38" ht="12.75">
      <c r="A49" s="2"/>
      <c r="B49" s="2"/>
      <c r="C49" s="2"/>
      <c r="D49" s="90"/>
      <c r="E49" s="90"/>
      <c r="F49" s="90"/>
      <c r="G49" s="90"/>
      <c r="H49" s="90"/>
      <c r="I49" s="90"/>
      <c r="J49" s="90"/>
      <c r="K49" s="90"/>
      <c r="L49" s="90"/>
      <c r="M49" s="2"/>
      <c r="N49" s="90"/>
      <c r="O49" s="90"/>
      <c r="P49" s="90"/>
      <c r="Q49" s="2"/>
      <c r="R49" s="90"/>
      <c r="S49" s="90"/>
      <c r="T49" s="90"/>
      <c r="U49" s="2"/>
      <c r="V49" s="90"/>
      <c r="W49" s="90"/>
      <c r="X49" s="90"/>
      <c r="Y49" s="2"/>
      <c r="Z49" s="90"/>
      <c r="AA49" s="90"/>
      <c r="AB49" s="90"/>
      <c r="AC49" s="2"/>
      <c r="AD49" s="90"/>
      <c r="AE49" s="90"/>
      <c r="AF49" s="90"/>
      <c r="AG49" s="2"/>
      <c r="AH49" s="2"/>
      <c r="AI49" s="2"/>
      <c r="AJ49" s="2"/>
      <c r="AK49" s="2"/>
      <c r="AL49" s="2"/>
    </row>
    <row r="50" spans="1:38" ht="12.75">
      <c r="A50" s="2"/>
      <c r="B50" s="2"/>
      <c r="C50" s="2"/>
      <c r="D50" s="90"/>
      <c r="E50" s="90"/>
      <c r="F50" s="90"/>
      <c r="G50" s="90"/>
      <c r="H50" s="90"/>
      <c r="I50" s="90"/>
      <c r="J50" s="90"/>
      <c r="K50" s="90"/>
      <c r="L50" s="90"/>
      <c r="M50" s="2"/>
      <c r="N50" s="90"/>
      <c r="O50" s="90"/>
      <c r="P50" s="90"/>
      <c r="Q50" s="2"/>
      <c r="R50" s="90"/>
      <c r="S50" s="90"/>
      <c r="T50" s="90"/>
      <c r="U50" s="2"/>
      <c r="V50" s="90"/>
      <c r="W50" s="90"/>
      <c r="X50" s="90"/>
      <c r="Y50" s="2"/>
      <c r="Z50" s="90"/>
      <c r="AA50" s="90"/>
      <c r="AB50" s="90"/>
      <c r="AC50" s="2"/>
      <c r="AD50" s="90"/>
      <c r="AE50" s="90"/>
      <c r="AF50" s="90"/>
      <c r="AG50" s="2"/>
      <c r="AH50" s="2"/>
      <c r="AI50" s="2"/>
      <c r="AJ50" s="2"/>
      <c r="AK50" s="2"/>
      <c r="AL50" s="2"/>
    </row>
    <row r="51" spans="1:38" ht="12.75">
      <c r="A51" s="2"/>
      <c r="B51" s="2"/>
      <c r="C51" s="2"/>
      <c r="D51" s="90"/>
      <c r="E51" s="90"/>
      <c r="F51" s="90"/>
      <c r="G51" s="90"/>
      <c r="H51" s="90"/>
      <c r="I51" s="90"/>
      <c r="J51" s="90"/>
      <c r="K51" s="90"/>
      <c r="L51" s="90"/>
      <c r="M51" s="2"/>
      <c r="N51" s="90"/>
      <c r="O51" s="90"/>
      <c r="P51" s="90"/>
      <c r="Q51" s="2"/>
      <c r="R51" s="90"/>
      <c r="S51" s="90"/>
      <c r="T51" s="90"/>
      <c r="U51" s="2"/>
      <c r="V51" s="90"/>
      <c r="W51" s="90"/>
      <c r="X51" s="90"/>
      <c r="Y51" s="2"/>
      <c r="Z51" s="90"/>
      <c r="AA51" s="90"/>
      <c r="AB51" s="90"/>
      <c r="AC51" s="2"/>
      <c r="AD51" s="90"/>
      <c r="AE51" s="90"/>
      <c r="AF51" s="90"/>
      <c r="AG51" s="2"/>
      <c r="AH51" s="2"/>
      <c r="AI51" s="2"/>
      <c r="AJ51" s="2"/>
      <c r="AK51" s="2"/>
      <c r="AL51" s="2"/>
    </row>
    <row r="52" spans="1:38" ht="12.75">
      <c r="A52" s="2"/>
      <c r="B52" s="2"/>
      <c r="C52" s="2"/>
      <c r="D52" s="90"/>
      <c r="E52" s="90"/>
      <c r="F52" s="90"/>
      <c r="G52" s="90"/>
      <c r="H52" s="90"/>
      <c r="I52" s="90"/>
      <c r="J52" s="90"/>
      <c r="K52" s="90"/>
      <c r="L52" s="90"/>
      <c r="M52" s="2"/>
      <c r="N52" s="90"/>
      <c r="O52" s="90"/>
      <c r="P52" s="90"/>
      <c r="Q52" s="2"/>
      <c r="R52" s="90"/>
      <c r="S52" s="90"/>
      <c r="T52" s="90"/>
      <c r="U52" s="2"/>
      <c r="V52" s="90"/>
      <c r="W52" s="90"/>
      <c r="X52" s="90"/>
      <c r="Y52" s="2"/>
      <c r="Z52" s="90"/>
      <c r="AA52" s="90"/>
      <c r="AB52" s="90"/>
      <c r="AC52" s="2"/>
      <c r="AD52" s="90"/>
      <c r="AE52" s="90"/>
      <c r="AF52" s="90"/>
      <c r="AG52" s="2"/>
      <c r="AH52" s="2"/>
      <c r="AI52" s="2"/>
      <c r="AJ52" s="2"/>
      <c r="AK52" s="2"/>
      <c r="AL52" s="2"/>
    </row>
    <row r="53" spans="1:38" ht="12.75">
      <c r="A53" s="2"/>
      <c r="B53" s="2"/>
      <c r="C53" s="2"/>
      <c r="D53" s="90"/>
      <c r="E53" s="90"/>
      <c r="F53" s="90"/>
      <c r="G53" s="90"/>
      <c r="H53" s="90"/>
      <c r="I53" s="90"/>
      <c r="J53" s="90"/>
      <c r="K53" s="90"/>
      <c r="L53" s="90"/>
      <c r="M53" s="2"/>
      <c r="N53" s="90"/>
      <c r="O53" s="90"/>
      <c r="P53" s="90"/>
      <c r="Q53" s="2"/>
      <c r="R53" s="90"/>
      <c r="S53" s="90"/>
      <c r="T53" s="90"/>
      <c r="U53" s="2"/>
      <c r="V53" s="90"/>
      <c r="W53" s="90"/>
      <c r="X53" s="90"/>
      <c r="Y53" s="2"/>
      <c r="Z53" s="90"/>
      <c r="AA53" s="90"/>
      <c r="AB53" s="90"/>
      <c r="AC53" s="2"/>
      <c r="AD53" s="90"/>
      <c r="AE53" s="90"/>
      <c r="AF53" s="90"/>
      <c r="AG53" s="2"/>
      <c r="AH53" s="2"/>
      <c r="AI53" s="2"/>
      <c r="AJ53" s="2"/>
      <c r="AK53" s="2"/>
      <c r="AL53" s="2"/>
    </row>
    <row r="54" spans="1:38" ht="12.75">
      <c r="A54" s="2"/>
      <c r="B54" s="2"/>
      <c r="C54" s="2"/>
      <c r="D54" s="90"/>
      <c r="E54" s="90"/>
      <c r="F54" s="90"/>
      <c r="G54" s="90"/>
      <c r="H54" s="90"/>
      <c r="I54" s="90"/>
      <c r="J54" s="90"/>
      <c r="K54" s="90"/>
      <c r="L54" s="90"/>
      <c r="M54" s="2"/>
      <c r="N54" s="90"/>
      <c r="O54" s="90"/>
      <c r="P54" s="90"/>
      <c r="Q54" s="2"/>
      <c r="R54" s="90"/>
      <c r="S54" s="90"/>
      <c r="T54" s="90"/>
      <c r="U54" s="2"/>
      <c r="V54" s="90"/>
      <c r="W54" s="90"/>
      <c r="X54" s="90"/>
      <c r="Y54" s="2"/>
      <c r="Z54" s="90"/>
      <c r="AA54" s="90"/>
      <c r="AB54" s="90"/>
      <c r="AC54" s="2"/>
      <c r="AD54" s="90"/>
      <c r="AE54" s="90"/>
      <c r="AF54" s="90"/>
      <c r="AG54" s="2"/>
      <c r="AH54" s="2"/>
      <c r="AI54" s="2"/>
      <c r="AJ54" s="2"/>
      <c r="AK54" s="2"/>
      <c r="AL54" s="2"/>
    </row>
    <row r="55" spans="1:38" ht="12.75">
      <c r="A55" s="2"/>
      <c r="B55" s="2"/>
      <c r="C55" s="2"/>
      <c r="D55" s="90"/>
      <c r="E55" s="90"/>
      <c r="F55" s="90"/>
      <c r="G55" s="90"/>
      <c r="H55" s="90"/>
      <c r="I55" s="90"/>
      <c r="J55" s="90"/>
      <c r="K55" s="90"/>
      <c r="L55" s="90"/>
      <c r="M55" s="2"/>
      <c r="N55" s="90"/>
      <c r="O55" s="90"/>
      <c r="P55" s="90"/>
      <c r="Q55" s="2"/>
      <c r="R55" s="90"/>
      <c r="S55" s="90"/>
      <c r="T55" s="90"/>
      <c r="U55" s="2"/>
      <c r="V55" s="90"/>
      <c r="W55" s="90"/>
      <c r="X55" s="90"/>
      <c r="Y55" s="2"/>
      <c r="Z55" s="90"/>
      <c r="AA55" s="90"/>
      <c r="AB55" s="90"/>
      <c r="AC55" s="2"/>
      <c r="AD55" s="90"/>
      <c r="AE55" s="90"/>
      <c r="AF55" s="90"/>
      <c r="AG55" s="2"/>
      <c r="AH55" s="2"/>
      <c r="AI55" s="2"/>
      <c r="AJ55" s="2"/>
      <c r="AK55" s="2"/>
      <c r="AL55" s="2"/>
    </row>
    <row r="56" spans="1:38" ht="12.75">
      <c r="A56" s="2"/>
      <c r="B56" s="2"/>
      <c r="C56" s="2"/>
      <c r="D56" s="90"/>
      <c r="E56" s="90"/>
      <c r="F56" s="90"/>
      <c r="G56" s="90"/>
      <c r="H56" s="90"/>
      <c r="I56" s="90"/>
      <c r="J56" s="90"/>
      <c r="K56" s="90"/>
      <c r="L56" s="90"/>
      <c r="M56" s="2"/>
      <c r="N56" s="90"/>
      <c r="O56" s="90"/>
      <c r="P56" s="90"/>
      <c r="Q56" s="2"/>
      <c r="R56" s="90"/>
      <c r="S56" s="90"/>
      <c r="T56" s="90"/>
      <c r="U56" s="2"/>
      <c r="V56" s="90"/>
      <c r="W56" s="90"/>
      <c r="X56" s="90"/>
      <c r="Y56" s="2"/>
      <c r="Z56" s="90"/>
      <c r="AA56" s="90"/>
      <c r="AB56" s="90"/>
      <c r="AC56" s="2"/>
      <c r="AD56" s="90"/>
      <c r="AE56" s="90"/>
      <c r="AF56" s="90"/>
      <c r="AG56" s="2"/>
      <c r="AH56" s="2"/>
      <c r="AI56" s="2"/>
      <c r="AJ56" s="2"/>
      <c r="AK56" s="2"/>
      <c r="AL56" s="2"/>
    </row>
    <row r="57" spans="1:38" ht="12.75">
      <c r="A57" s="2"/>
      <c r="B57" s="2"/>
      <c r="C57" s="2"/>
      <c r="D57" s="90"/>
      <c r="E57" s="90"/>
      <c r="F57" s="90"/>
      <c r="G57" s="90"/>
      <c r="H57" s="90"/>
      <c r="I57" s="90"/>
      <c r="J57" s="90"/>
      <c r="K57" s="90"/>
      <c r="L57" s="90"/>
      <c r="M57" s="2"/>
      <c r="N57" s="90"/>
      <c r="O57" s="90"/>
      <c r="P57" s="90"/>
      <c r="Q57" s="2"/>
      <c r="R57" s="90"/>
      <c r="S57" s="90"/>
      <c r="T57" s="90"/>
      <c r="U57" s="2"/>
      <c r="V57" s="90"/>
      <c r="W57" s="90"/>
      <c r="X57" s="90"/>
      <c r="Y57" s="2"/>
      <c r="Z57" s="90"/>
      <c r="AA57" s="90"/>
      <c r="AB57" s="90"/>
      <c r="AC57" s="2"/>
      <c r="AD57" s="90"/>
      <c r="AE57" s="90"/>
      <c r="AF57" s="90"/>
      <c r="AG57" s="2"/>
      <c r="AH57" s="2"/>
      <c r="AI57" s="2"/>
      <c r="AJ57" s="2"/>
      <c r="AK57" s="2"/>
      <c r="AL57" s="2"/>
    </row>
    <row r="58" spans="1:38" ht="12.75">
      <c r="A58" s="2"/>
      <c r="B58" s="2"/>
      <c r="C58" s="2"/>
      <c r="D58" s="90"/>
      <c r="E58" s="90"/>
      <c r="F58" s="90"/>
      <c r="G58" s="90"/>
      <c r="H58" s="90"/>
      <c r="I58" s="90"/>
      <c r="J58" s="90"/>
      <c r="K58" s="90"/>
      <c r="L58" s="90"/>
      <c r="M58" s="2"/>
      <c r="N58" s="90"/>
      <c r="O58" s="90"/>
      <c r="P58" s="90"/>
      <c r="Q58" s="2"/>
      <c r="R58" s="90"/>
      <c r="S58" s="90"/>
      <c r="T58" s="90"/>
      <c r="U58" s="2"/>
      <c r="V58" s="90"/>
      <c r="W58" s="90"/>
      <c r="X58" s="90"/>
      <c r="Y58" s="2"/>
      <c r="Z58" s="90"/>
      <c r="AA58" s="90"/>
      <c r="AB58" s="90"/>
      <c r="AC58" s="2"/>
      <c r="AD58" s="90"/>
      <c r="AE58" s="90"/>
      <c r="AF58" s="90"/>
      <c r="AG58" s="2"/>
      <c r="AH58" s="2"/>
      <c r="AI58" s="2"/>
      <c r="AJ58" s="2"/>
      <c r="AK58" s="2"/>
      <c r="AL58" s="2"/>
    </row>
    <row r="59" spans="1:38" ht="12.75">
      <c r="A59" s="2"/>
      <c r="B59" s="2"/>
      <c r="C59" s="2"/>
      <c r="D59" s="90"/>
      <c r="E59" s="90"/>
      <c r="F59" s="90"/>
      <c r="G59" s="90"/>
      <c r="H59" s="90"/>
      <c r="I59" s="90"/>
      <c r="J59" s="90"/>
      <c r="K59" s="90"/>
      <c r="L59" s="90"/>
      <c r="M59" s="2"/>
      <c r="N59" s="90"/>
      <c r="O59" s="90"/>
      <c r="P59" s="90"/>
      <c r="Q59" s="2"/>
      <c r="R59" s="90"/>
      <c r="S59" s="90"/>
      <c r="T59" s="90"/>
      <c r="U59" s="2"/>
      <c r="V59" s="90"/>
      <c r="W59" s="90"/>
      <c r="X59" s="90"/>
      <c r="Y59" s="2"/>
      <c r="Z59" s="90"/>
      <c r="AA59" s="90"/>
      <c r="AB59" s="90"/>
      <c r="AC59" s="2"/>
      <c r="AD59" s="90"/>
      <c r="AE59" s="90"/>
      <c r="AF59" s="90"/>
      <c r="AG59" s="2"/>
      <c r="AH59" s="2"/>
      <c r="AI59" s="2"/>
      <c r="AJ59" s="2"/>
      <c r="AK59" s="2"/>
      <c r="AL59" s="2"/>
    </row>
    <row r="60" spans="1:38" ht="12.75">
      <c r="A60" s="2"/>
      <c r="B60" s="2"/>
      <c r="C60" s="2"/>
      <c r="D60" s="90"/>
      <c r="E60" s="90"/>
      <c r="F60" s="90"/>
      <c r="G60" s="90"/>
      <c r="H60" s="90"/>
      <c r="I60" s="90"/>
      <c r="J60" s="90"/>
      <c r="K60" s="90"/>
      <c r="L60" s="90"/>
      <c r="M60" s="2"/>
      <c r="N60" s="90"/>
      <c r="O60" s="90"/>
      <c r="P60" s="90"/>
      <c r="Q60" s="2"/>
      <c r="R60" s="90"/>
      <c r="S60" s="90"/>
      <c r="T60" s="90"/>
      <c r="U60" s="2"/>
      <c r="V60" s="90"/>
      <c r="W60" s="90"/>
      <c r="X60" s="90"/>
      <c r="Y60" s="2"/>
      <c r="Z60" s="90"/>
      <c r="AA60" s="90"/>
      <c r="AB60" s="90"/>
      <c r="AC60" s="2"/>
      <c r="AD60" s="90"/>
      <c r="AE60" s="90"/>
      <c r="AF60" s="90"/>
      <c r="AG60" s="2"/>
      <c r="AH60" s="2"/>
      <c r="AI60" s="2"/>
      <c r="AJ60" s="2"/>
      <c r="AK60" s="2"/>
      <c r="AL60" s="2"/>
    </row>
    <row r="61" spans="1:38" ht="12.75">
      <c r="A61" s="2"/>
      <c r="B61" s="2"/>
      <c r="C61" s="2"/>
      <c r="D61" s="90"/>
      <c r="E61" s="90"/>
      <c r="F61" s="90"/>
      <c r="G61" s="90"/>
      <c r="H61" s="90"/>
      <c r="I61" s="90"/>
      <c r="J61" s="90"/>
      <c r="K61" s="90"/>
      <c r="L61" s="90"/>
      <c r="M61" s="2"/>
      <c r="N61" s="90"/>
      <c r="O61" s="90"/>
      <c r="P61" s="90"/>
      <c r="Q61" s="2"/>
      <c r="R61" s="90"/>
      <c r="S61" s="90"/>
      <c r="T61" s="90"/>
      <c r="U61" s="2"/>
      <c r="V61" s="90"/>
      <c r="W61" s="90"/>
      <c r="X61" s="90"/>
      <c r="Y61" s="2"/>
      <c r="Z61" s="90"/>
      <c r="AA61" s="90"/>
      <c r="AB61" s="90"/>
      <c r="AC61" s="2"/>
      <c r="AD61" s="90"/>
      <c r="AE61" s="90"/>
      <c r="AF61" s="90"/>
      <c r="AG61" s="2"/>
      <c r="AH61" s="2"/>
      <c r="AI61" s="2"/>
      <c r="AJ61" s="2"/>
      <c r="AK61" s="2"/>
      <c r="AL61" s="2"/>
    </row>
    <row r="62" spans="1:38" ht="12.75">
      <c r="A62" s="2"/>
      <c r="B62" s="2"/>
      <c r="C62" s="2"/>
      <c r="D62" s="90"/>
      <c r="E62" s="90"/>
      <c r="F62" s="90"/>
      <c r="G62" s="90"/>
      <c r="H62" s="90"/>
      <c r="I62" s="90"/>
      <c r="J62" s="90"/>
      <c r="K62" s="90"/>
      <c r="L62" s="90"/>
      <c r="M62" s="2"/>
      <c r="N62" s="90"/>
      <c r="O62" s="90"/>
      <c r="P62" s="90"/>
      <c r="Q62" s="2"/>
      <c r="R62" s="90"/>
      <c r="S62" s="90"/>
      <c r="T62" s="90"/>
      <c r="U62" s="2"/>
      <c r="V62" s="90"/>
      <c r="W62" s="90"/>
      <c r="X62" s="90"/>
      <c r="Y62" s="2"/>
      <c r="Z62" s="90"/>
      <c r="AA62" s="90"/>
      <c r="AB62" s="90"/>
      <c r="AC62" s="2"/>
      <c r="AD62" s="90"/>
      <c r="AE62" s="90"/>
      <c r="AF62" s="90"/>
      <c r="AG62" s="2"/>
      <c r="AH62" s="2"/>
      <c r="AI62" s="2"/>
      <c r="AJ62" s="2"/>
      <c r="AK62" s="2"/>
      <c r="AL62" s="2"/>
    </row>
    <row r="63" spans="1:38" ht="12.75">
      <c r="A63" s="2"/>
      <c r="B63" s="2"/>
      <c r="C63" s="2"/>
      <c r="D63" s="90"/>
      <c r="E63" s="90"/>
      <c r="F63" s="90"/>
      <c r="G63" s="90"/>
      <c r="H63" s="90"/>
      <c r="I63" s="90"/>
      <c r="J63" s="90"/>
      <c r="K63" s="90"/>
      <c r="L63" s="90"/>
      <c r="M63" s="2"/>
      <c r="N63" s="90"/>
      <c r="O63" s="90"/>
      <c r="P63" s="90"/>
      <c r="Q63" s="2"/>
      <c r="R63" s="90"/>
      <c r="S63" s="90"/>
      <c r="T63" s="90"/>
      <c r="U63" s="2"/>
      <c r="V63" s="90"/>
      <c r="W63" s="90"/>
      <c r="X63" s="90"/>
      <c r="Y63" s="2"/>
      <c r="Z63" s="90"/>
      <c r="AA63" s="90"/>
      <c r="AB63" s="90"/>
      <c r="AC63" s="2"/>
      <c r="AD63" s="90"/>
      <c r="AE63" s="90"/>
      <c r="AF63" s="90"/>
      <c r="AG63" s="2"/>
      <c r="AH63" s="2"/>
      <c r="AI63" s="2"/>
      <c r="AJ63" s="2"/>
      <c r="AK63" s="2"/>
      <c r="AL63" s="2"/>
    </row>
    <row r="64" spans="1:38" ht="12.75">
      <c r="A64" s="2"/>
      <c r="B64" s="2"/>
      <c r="C64" s="2"/>
      <c r="D64" s="90"/>
      <c r="E64" s="90"/>
      <c r="F64" s="90"/>
      <c r="G64" s="90"/>
      <c r="H64" s="90"/>
      <c r="I64" s="90"/>
      <c r="J64" s="90"/>
      <c r="K64" s="90"/>
      <c r="L64" s="90"/>
      <c r="M64" s="2"/>
      <c r="N64" s="90"/>
      <c r="O64" s="90"/>
      <c r="P64" s="90"/>
      <c r="Q64" s="2"/>
      <c r="R64" s="90"/>
      <c r="S64" s="90"/>
      <c r="T64" s="90"/>
      <c r="U64" s="2"/>
      <c r="V64" s="90"/>
      <c r="W64" s="90"/>
      <c r="X64" s="90"/>
      <c r="Y64" s="2"/>
      <c r="Z64" s="90"/>
      <c r="AA64" s="90"/>
      <c r="AB64" s="90"/>
      <c r="AC64" s="2"/>
      <c r="AD64" s="90"/>
      <c r="AE64" s="90"/>
      <c r="AF64" s="90"/>
      <c r="AG64" s="2"/>
      <c r="AH64" s="2"/>
      <c r="AI64" s="2"/>
      <c r="AJ64" s="2"/>
      <c r="AK64" s="2"/>
      <c r="AL64" s="2"/>
    </row>
    <row r="65" spans="1:38" ht="12.75">
      <c r="A65" s="2"/>
      <c r="B65" s="2"/>
      <c r="C65" s="2"/>
      <c r="D65" s="90"/>
      <c r="E65" s="90"/>
      <c r="F65" s="90"/>
      <c r="G65" s="90"/>
      <c r="H65" s="90"/>
      <c r="I65" s="90"/>
      <c r="J65" s="90"/>
      <c r="K65" s="90"/>
      <c r="L65" s="90"/>
      <c r="M65" s="2"/>
      <c r="N65" s="90"/>
      <c r="O65" s="90"/>
      <c r="P65" s="90"/>
      <c r="Q65" s="2"/>
      <c r="R65" s="90"/>
      <c r="S65" s="90"/>
      <c r="T65" s="90"/>
      <c r="U65" s="2"/>
      <c r="V65" s="90"/>
      <c r="W65" s="90"/>
      <c r="X65" s="90"/>
      <c r="Y65" s="2"/>
      <c r="Z65" s="90"/>
      <c r="AA65" s="90"/>
      <c r="AB65" s="90"/>
      <c r="AC65" s="2"/>
      <c r="AD65" s="90"/>
      <c r="AE65" s="90"/>
      <c r="AF65" s="90"/>
      <c r="AG65" s="2"/>
      <c r="AH65" s="2"/>
      <c r="AI65" s="2"/>
      <c r="AJ65" s="2"/>
      <c r="AK65" s="2"/>
      <c r="AL65" s="2"/>
    </row>
    <row r="66" spans="1:38" ht="12.75">
      <c r="A66" s="2"/>
      <c r="B66" s="2"/>
      <c r="C66" s="2"/>
      <c r="D66" s="90"/>
      <c r="E66" s="90"/>
      <c r="F66" s="90"/>
      <c r="G66" s="90"/>
      <c r="H66" s="90"/>
      <c r="I66" s="90"/>
      <c r="J66" s="90"/>
      <c r="K66" s="90"/>
      <c r="L66" s="90"/>
      <c r="M66" s="2"/>
      <c r="N66" s="90"/>
      <c r="O66" s="90"/>
      <c r="P66" s="90"/>
      <c r="Q66" s="2"/>
      <c r="R66" s="90"/>
      <c r="S66" s="90"/>
      <c r="T66" s="90"/>
      <c r="U66" s="2"/>
      <c r="V66" s="90"/>
      <c r="W66" s="90"/>
      <c r="X66" s="90"/>
      <c r="Y66" s="2"/>
      <c r="Z66" s="90"/>
      <c r="AA66" s="90"/>
      <c r="AB66" s="90"/>
      <c r="AC66" s="2"/>
      <c r="AD66" s="90"/>
      <c r="AE66" s="90"/>
      <c r="AF66" s="90"/>
      <c r="AG66" s="2"/>
      <c r="AH66" s="2"/>
      <c r="AI66" s="2"/>
      <c r="AJ66" s="2"/>
      <c r="AK66" s="2"/>
      <c r="AL66" s="2"/>
    </row>
    <row r="67" spans="1:38" ht="12.75">
      <c r="A67" s="2"/>
      <c r="B67" s="2"/>
      <c r="C67" s="2"/>
      <c r="D67" s="90"/>
      <c r="E67" s="90"/>
      <c r="F67" s="90"/>
      <c r="G67" s="90"/>
      <c r="H67" s="90"/>
      <c r="I67" s="90"/>
      <c r="J67" s="90"/>
      <c r="K67" s="90"/>
      <c r="L67" s="90"/>
      <c r="M67" s="2"/>
      <c r="N67" s="90"/>
      <c r="O67" s="90"/>
      <c r="P67" s="90"/>
      <c r="Q67" s="2"/>
      <c r="R67" s="90"/>
      <c r="S67" s="90"/>
      <c r="T67" s="90"/>
      <c r="U67" s="2"/>
      <c r="V67" s="90"/>
      <c r="W67" s="90"/>
      <c r="X67" s="90"/>
      <c r="Y67" s="2"/>
      <c r="Z67" s="90"/>
      <c r="AA67" s="90"/>
      <c r="AB67" s="90"/>
      <c r="AC67" s="2"/>
      <c r="AD67" s="90"/>
      <c r="AE67" s="90"/>
      <c r="AF67" s="90"/>
      <c r="AG67" s="2"/>
      <c r="AH67" s="2"/>
      <c r="AI67" s="2"/>
      <c r="AJ67" s="2"/>
      <c r="AK67" s="2"/>
      <c r="AL67" s="2"/>
    </row>
    <row r="68" spans="1:38" ht="12.75">
      <c r="A68" s="2"/>
      <c r="B68" s="2"/>
      <c r="C68" s="2"/>
      <c r="D68" s="90"/>
      <c r="E68" s="90"/>
      <c r="F68" s="90"/>
      <c r="G68" s="90"/>
      <c r="H68" s="90"/>
      <c r="I68" s="90"/>
      <c r="J68" s="90"/>
      <c r="K68" s="90"/>
      <c r="L68" s="90"/>
      <c r="M68" s="2"/>
      <c r="N68" s="90"/>
      <c r="O68" s="90"/>
      <c r="P68" s="90"/>
      <c r="Q68" s="2"/>
      <c r="R68" s="90"/>
      <c r="S68" s="90"/>
      <c r="T68" s="90"/>
      <c r="U68" s="2"/>
      <c r="V68" s="90"/>
      <c r="W68" s="90"/>
      <c r="X68" s="90"/>
      <c r="Y68" s="2"/>
      <c r="Z68" s="90"/>
      <c r="AA68" s="90"/>
      <c r="AB68" s="90"/>
      <c r="AC68" s="2"/>
      <c r="AD68" s="90"/>
      <c r="AE68" s="90"/>
      <c r="AF68" s="90"/>
      <c r="AG68" s="2"/>
      <c r="AH68" s="2"/>
      <c r="AI68" s="2"/>
      <c r="AJ68" s="2"/>
      <c r="AK68" s="2"/>
      <c r="AL68" s="2"/>
    </row>
    <row r="69" spans="1:38" ht="12.75">
      <c r="A69" s="2"/>
      <c r="B69" s="2"/>
      <c r="C69" s="2"/>
      <c r="D69" s="90"/>
      <c r="E69" s="90"/>
      <c r="F69" s="90"/>
      <c r="G69" s="90"/>
      <c r="H69" s="90"/>
      <c r="I69" s="90"/>
      <c r="J69" s="90"/>
      <c r="K69" s="90"/>
      <c r="L69" s="90"/>
      <c r="M69" s="2"/>
      <c r="N69" s="90"/>
      <c r="O69" s="90"/>
      <c r="P69" s="90"/>
      <c r="Q69" s="2"/>
      <c r="R69" s="90"/>
      <c r="S69" s="90"/>
      <c r="T69" s="90"/>
      <c r="U69" s="2"/>
      <c r="V69" s="90"/>
      <c r="W69" s="90"/>
      <c r="X69" s="90"/>
      <c r="Y69" s="2"/>
      <c r="Z69" s="90"/>
      <c r="AA69" s="90"/>
      <c r="AB69" s="90"/>
      <c r="AC69" s="2"/>
      <c r="AD69" s="90"/>
      <c r="AE69" s="90"/>
      <c r="AF69" s="90"/>
      <c r="AG69" s="2"/>
      <c r="AH69" s="2"/>
      <c r="AI69" s="2"/>
      <c r="AJ69" s="2"/>
      <c r="AK69" s="2"/>
      <c r="AL69" s="2"/>
    </row>
    <row r="70" spans="1:38" ht="12.75">
      <c r="A70" s="2"/>
      <c r="B70" s="2"/>
      <c r="C70" s="2"/>
      <c r="D70" s="90"/>
      <c r="E70" s="90"/>
      <c r="F70" s="90"/>
      <c r="G70" s="90"/>
      <c r="H70" s="90"/>
      <c r="I70" s="90"/>
      <c r="J70" s="90"/>
      <c r="K70" s="90"/>
      <c r="L70" s="90"/>
      <c r="M70" s="2"/>
      <c r="N70" s="90"/>
      <c r="O70" s="90"/>
      <c r="P70" s="90"/>
      <c r="Q70" s="2"/>
      <c r="R70" s="90"/>
      <c r="S70" s="90"/>
      <c r="T70" s="90"/>
      <c r="U70" s="2"/>
      <c r="V70" s="90"/>
      <c r="W70" s="90"/>
      <c r="X70" s="90"/>
      <c r="Y70" s="2"/>
      <c r="Z70" s="90"/>
      <c r="AA70" s="90"/>
      <c r="AB70" s="90"/>
      <c r="AC70" s="2"/>
      <c r="AD70" s="90"/>
      <c r="AE70" s="90"/>
      <c r="AF70" s="90"/>
      <c r="AG70" s="2"/>
      <c r="AH70" s="2"/>
      <c r="AI70" s="2"/>
      <c r="AJ70" s="2"/>
      <c r="AK70" s="2"/>
      <c r="AL70" s="2"/>
    </row>
    <row r="71" spans="1:38" ht="12.75">
      <c r="A71" s="2"/>
      <c r="B71" s="2"/>
      <c r="C71" s="2"/>
      <c r="D71" s="90"/>
      <c r="E71" s="90"/>
      <c r="F71" s="90"/>
      <c r="G71" s="90"/>
      <c r="H71" s="90"/>
      <c r="I71" s="90"/>
      <c r="J71" s="90"/>
      <c r="K71" s="90"/>
      <c r="L71" s="90"/>
      <c r="M71" s="2"/>
      <c r="N71" s="90"/>
      <c r="O71" s="90"/>
      <c r="P71" s="90"/>
      <c r="Q71" s="2"/>
      <c r="R71" s="90"/>
      <c r="S71" s="90"/>
      <c r="T71" s="90"/>
      <c r="U71" s="2"/>
      <c r="V71" s="90"/>
      <c r="W71" s="90"/>
      <c r="X71" s="90"/>
      <c r="Y71" s="2"/>
      <c r="Z71" s="90"/>
      <c r="AA71" s="90"/>
      <c r="AB71" s="90"/>
      <c r="AC71" s="2"/>
      <c r="AD71" s="90"/>
      <c r="AE71" s="90"/>
      <c r="AF71" s="90"/>
      <c r="AG71" s="2"/>
      <c r="AH71" s="2"/>
      <c r="AI71" s="2"/>
      <c r="AJ71" s="2"/>
      <c r="AK71" s="2"/>
      <c r="AL71" s="2"/>
    </row>
    <row r="72" spans="1:38" ht="12.75">
      <c r="A72" s="2"/>
      <c r="B72" s="2"/>
      <c r="C72" s="2"/>
      <c r="D72" s="90"/>
      <c r="E72" s="90"/>
      <c r="F72" s="90"/>
      <c r="G72" s="90"/>
      <c r="H72" s="90"/>
      <c r="I72" s="90"/>
      <c r="J72" s="90"/>
      <c r="K72" s="90"/>
      <c r="L72" s="90"/>
      <c r="M72" s="2"/>
      <c r="N72" s="90"/>
      <c r="O72" s="90"/>
      <c r="P72" s="90"/>
      <c r="Q72" s="2"/>
      <c r="R72" s="90"/>
      <c r="S72" s="90"/>
      <c r="T72" s="90"/>
      <c r="U72" s="2"/>
      <c r="V72" s="90"/>
      <c r="W72" s="90"/>
      <c r="X72" s="90"/>
      <c r="Y72" s="2"/>
      <c r="Z72" s="90"/>
      <c r="AA72" s="90"/>
      <c r="AB72" s="90"/>
      <c r="AC72" s="2"/>
      <c r="AD72" s="90"/>
      <c r="AE72" s="90"/>
      <c r="AF72" s="90"/>
      <c r="AG72" s="2"/>
      <c r="AH72" s="2"/>
      <c r="AI72" s="2"/>
      <c r="AJ72" s="2"/>
      <c r="AK72" s="2"/>
      <c r="AL72" s="2"/>
    </row>
    <row r="73" spans="1:38" ht="12.75">
      <c r="A73" s="2"/>
      <c r="B73" s="2"/>
      <c r="C73" s="2"/>
      <c r="D73" s="90"/>
      <c r="E73" s="90"/>
      <c r="F73" s="90"/>
      <c r="G73" s="90"/>
      <c r="H73" s="90"/>
      <c r="I73" s="90"/>
      <c r="J73" s="90"/>
      <c r="K73" s="90"/>
      <c r="L73" s="90"/>
      <c r="M73" s="2"/>
      <c r="N73" s="90"/>
      <c r="O73" s="90"/>
      <c r="P73" s="90"/>
      <c r="Q73" s="2"/>
      <c r="R73" s="90"/>
      <c r="S73" s="90"/>
      <c r="T73" s="90"/>
      <c r="U73" s="2"/>
      <c r="V73" s="90"/>
      <c r="W73" s="90"/>
      <c r="X73" s="90"/>
      <c r="Y73" s="2"/>
      <c r="Z73" s="90"/>
      <c r="AA73" s="90"/>
      <c r="AB73" s="90"/>
      <c r="AC73" s="2"/>
      <c r="AD73" s="90"/>
      <c r="AE73" s="90"/>
      <c r="AF73" s="90"/>
      <c r="AG73" s="2"/>
      <c r="AH73" s="2"/>
      <c r="AI73" s="2"/>
      <c r="AJ73" s="2"/>
      <c r="AK73" s="2"/>
      <c r="AL73" s="2"/>
    </row>
    <row r="74" spans="1:38" ht="12.75">
      <c r="A74" s="2"/>
      <c r="B74" s="2"/>
      <c r="C74" s="2"/>
      <c r="D74" s="90"/>
      <c r="E74" s="90"/>
      <c r="F74" s="90"/>
      <c r="G74" s="90"/>
      <c r="H74" s="90"/>
      <c r="I74" s="90"/>
      <c r="J74" s="90"/>
      <c r="K74" s="90"/>
      <c r="L74" s="90"/>
      <c r="M74" s="2"/>
      <c r="N74" s="90"/>
      <c r="O74" s="90"/>
      <c r="P74" s="90"/>
      <c r="Q74" s="2"/>
      <c r="R74" s="90"/>
      <c r="S74" s="90"/>
      <c r="T74" s="90"/>
      <c r="U74" s="2"/>
      <c r="V74" s="90"/>
      <c r="W74" s="90"/>
      <c r="X74" s="90"/>
      <c r="Y74" s="2"/>
      <c r="Z74" s="90"/>
      <c r="AA74" s="90"/>
      <c r="AB74" s="90"/>
      <c r="AC74" s="2"/>
      <c r="AD74" s="90"/>
      <c r="AE74" s="90"/>
      <c r="AF74" s="90"/>
      <c r="AG74" s="2"/>
      <c r="AH74" s="2"/>
      <c r="AI74" s="2"/>
      <c r="AJ74" s="2"/>
      <c r="AK74" s="2"/>
      <c r="AL74" s="2"/>
    </row>
    <row r="75" spans="1:38" ht="12.75">
      <c r="A75" s="2"/>
      <c r="B75" s="2"/>
      <c r="C75" s="2"/>
      <c r="D75" s="90"/>
      <c r="E75" s="90"/>
      <c r="F75" s="90"/>
      <c r="G75" s="90"/>
      <c r="H75" s="90"/>
      <c r="I75" s="90"/>
      <c r="J75" s="90"/>
      <c r="K75" s="90"/>
      <c r="L75" s="90"/>
      <c r="M75" s="2"/>
      <c r="N75" s="90"/>
      <c r="O75" s="90"/>
      <c r="P75" s="90"/>
      <c r="Q75" s="2"/>
      <c r="R75" s="90"/>
      <c r="S75" s="90"/>
      <c r="T75" s="90"/>
      <c r="U75" s="2"/>
      <c r="V75" s="90"/>
      <c r="W75" s="90"/>
      <c r="X75" s="90"/>
      <c r="Y75" s="2"/>
      <c r="Z75" s="90"/>
      <c r="AA75" s="90"/>
      <c r="AB75" s="90"/>
      <c r="AC75" s="2"/>
      <c r="AD75" s="90"/>
      <c r="AE75" s="90"/>
      <c r="AF75" s="90"/>
      <c r="AG75" s="2"/>
      <c r="AH75" s="2"/>
      <c r="AI75" s="2"/>
      <c r="AJ75" s="2"/>
      <c r="AK75" s="2"/>
      <c r="AL75" s="2"/>
    </row>
    <row r="76" spans="1:38" ht="12.75">
      <c r="A76" s="2"/>
      <c r="B76" s="2"/>
      <c r="C76" s="2"/>
      <c r="D76" s="90"/>
      <c r="E76" s="90"/>
      <c r="F76" s="90"/>
      <c r="G76" s="90"/>
      <c r="H76" s="90"/>
      <c r="I76" s="90"/>
      <c r="J76" s="90"/>
      <c r="K76" s="90"/>
      <c r="L76" s="90"/>
      <c r="M76" s="2"/>
      <c r="N76" s="90"/>
      <c r="O76" s="90"/>
      <c r="P76" s="90"/>
      <c r="Q76" s="2"/>
      <c r="R76" s="90"/>
      <c r="S76" s="90"/>
      <c r="T76" s="90"/>
      <c r="U76" s="2"/>
      <c r="V76" s="90"/>
      <c r="W76" s="90"/>
      <c r="X76" s="90"/>
      <c r="Y76" s="2"/>
      <c r="Z76" s="90"/>
      <c r="AA76" s="90"/>
      <c r="AB76" s="90"/>
      <c r="AC76" s="2"/>
      <c r="AD76" s="90"/>
      <c r="AE76" s="90"/>
      <c r="AF76" s="90"/>
      <c r="AG76" s="2"/>
      <c r="AH76" s="2"/>
      <c r="AI76" s="2"/>
      <c r="AJ76" s="2"/>
      <c r="AK76" s="2"/>
      <c r="AL76" s="2"/>
    </row>
    <row r="77" spans="1:38" ht="12.75">
      <c r="A77" s="2"/>
      <c r="B77" s="2"/>
      <c r="C77" s="2"/>
      <c r="D77" s="90"/>
      <c r="E77" s="90"/>
      <c r="F77" s="90"/>
      <c r="G77" s="90"/>
      <c r="H77" s="90"/>
      <c r="I77" s="90"/>
      <c r="J77" s="90"/>
      <c r="K77" s="90"/>
      <c r="L77" s="90"/>
      <c r="M77" s="2"/>
      <c r="N77" s="90"/>
      <c r="O77" s="90"/>
      <c r="P77" s="90"/>
      <c r="Q77" s="2"/>
      <c r="R77" s="90"/>
      <c r="S77" s="90"/>
      <c r="T77" s="90"/>
      <c r="U77" s="2"/>
      <c r="V77" s="90"/>
      <c r="W77" s="90"/>
      <c r="X77" s="90"/>
      <c r="Y77" s="2"/>
      <c r="Z77" s="90"/>
      <c r="AA77" s="90"/>
      <c r="AB77" s="90"/>
      <c r="AC77" s="2"/>
      <c r="AD77" s="90"/>
      <c r="AE77" s="90"/>
      <c r="AF77" s="90"/>
      <c r="AG77" s="2"/>
      <c r="AH77" s="2"/>
      <c r="AI77" s="2"/>
      <c r="AJ77" s="2"/>
      <c r="AK77" s="2"/>
      <c r="AL77" s="2"/>
    </row>
    <row r="78" spans="1:38" ht="12.75">
      <c r="A78" s="2"/>
      <c r="B78" s="2"/>
      <c r="C78" s="2"/>
      <c r="D78" s="90"/>
      <c r="E78" s="90"/>
      <c r="F78" s="90"/>
      <c r="G78" s="90"/>
      <c r="H78" s="90"/>
      <c r="I78" s="90"/>
      <c r="J78" s="90"/>
      <c r="K78" s="90"/>
      <c r="L78" s="90"/>
      <c r="M78" s="2"/>
      <c r="N78" s="90"/>
      <c r="O78" s="90"/>
      <c r="P78" s="90"/>
      <c r="Q78" s="2"/>
      <c r="R78" s="90"/>
      <c r="S78" s="90"/>
      <c r="T78" s="90"/>
      <c r="U78" s="2"/>
      <c r="V78" s="90"/>
      <c r="W78" s="90"/>
      <c r="X78" s="90"/>
      <c r="Y78" s="2"/>
      <c r="Z78" s="90"/>
      <c r="AA78" s="90"/>
      <c r="AB78" s="90"/>
      <c r="AC78" s="2"/>
      <c r="AD78" s="90"/>
      <c r="AE78" s="90"/>
      <c r="AF78" s="90"/>
      <c r="AG78" s="2"/>
      <c r="AH78" s="2"/>
      <c r="AI78" s="2"/>
      <c r="AJ78" s="2"/>
      <c r="AK78" s="2"/>
      <c r="AL78" s="2"/>
    </row>
    <row r="79" spans="1:38" ht="12.75">
      <c r="A79" s="2"/>
      <c r="B79" s="2"/>
      <c r="C79" s="2"/>
      <c r="D79" s="90"/>
      <c r="E79" s="90"/>
      <c r="F79" s="90"/>
      <c r="G79" s="90"/>
      <c r="H79" s="90"/>
      <c r="I79" s="90"/>
      <c r="J79" s="90"/>
      <c r="K79" s="90"/>
      <c r="L79" s="90"/>
      <c r="M79" s="2"/>
      <c r="N79" s="90"/>
      <c r="O79" s="90"/>
      <c r="P79" s="90"/>
      <c r="Q79" s="2"/>
      <c r="R79" s="90"/>
      <c r="S79" s="90"/>
      <c r="T79" s="90"/>
      <c r="U79" s="2"/>
      <c r="V79" s="90"/>
      <c r="W79" s="90"/>
      <c r="X79" s="90"/>
      <c r="Y79" s="2"/>
      <c r="Z79" s="90"/>
      <c r="AA79" s="90"/>
      <c r="AB79" s="90"/>
      <c r="AC79" s="2"/>
      <c r="AD79" s="90"/>
      <c r="AE79" s="90"/>
      <c r="AF79" s="90"/>
      <c r="AG79" s="2"/>
      <c r="AH79" s="2"/>
      <c r="AI79" s="2"/>
      <c r="AJ79" s="2"/>
      <c r="AK79" s="2"/>
      <c r="AL79" s="2"/>
    </row>
    <row r="80" spans="1:38" ht="12.75">
      <c r="A80" s="2"/>
      <c r="B80" s="2"/>
      <c r="C80" s="2"/>
      <c r="D80" s="90"/>
      <c r="E80" s="90"/>
      <c r="F80" s="90"/>
      <c r="G80" s="90"/>
      <c r="H80" s="90"/>
      <c r="I80" s="90"/>
      <c r="J80" s="90"/>
      <c r="K80" s="90"/>
      <c r="L80" s="90"/>
      <c r="M80" s="2"/>
      <c r="N80" s="90"/>
      <c r="O80" s="90"/>
      <c r="P80" s="90"/>
      <c r="Q80" s="2"/>
      <c r="R80" s="90"/>
      <c r="S80" s="90"/>
      <c r="T80" s="90"/>
      <c r="U80" s="2"/>
      <c r="V80" s="90"/>
      <c r="W80" s="90"/>
      <c r="X80" s="90"/>
      <c r="Y80" s="2"/>
      <c r="Z80" s="90"/>
      <c r="AA80" s="90"/>
      <c r="AB80" s="90"/>
      <c r="AC80" s="2"/>
      <c r="AD80" s="90"/>
      <c r="AE80" s="90"/>
      <c r="AF80" s="90"/>
      <c r="AG80" s="2"/>
      <c r="AH80" s="2"/>
      <c r="AI80" s="2"/>
      <c r="AJ80" s="2"/>
      <c r="AK80" s="2"/>
      <c r="AL80" s="2"/>
    </row>
    <row r="81" spans="1:38" ht="12.75">
      <c r="A81" s="2"/>
      <c r="B81" s="2"/>
      <c r="C81" s="2"/>
      <c r="D81" s="90"/>
      <c r="E81" s="90"/>
      <c r="F81" s="90"/>
      <c r="G81" s="90"/>
      <c r="H81" s="90"/>
      <c r="I81" s="90"/>
      <c r="J81" s="90"/>
      <c r="K81" s="90"/>
      <c r="L81" s="90"/>
      <c r="M81" s="2"/>
      <c r="N81" s="90"/>
      <c r="O81" s="90"/>
      <c r="P81" s="90"/>
      <c r="Q81" s="2"/>
      <c r="R81" s="90"/>
      <c r="S81" s="90"/>
      <c r="T81" s="90"/>
      <c r="U81" s="2"/>
      <c r="V81" s="90"/>
      <c r="W81" s="90"/>
      <c r="X81" s="90"/>
      <c r="Y81" s="2"/>
      <c r="Z81" s="90"/>
      <c r="AA81" s="90"/>
      <c r="AB81" s="90"/>
      <c r="AC81" s="2"/>
      <c r="AD81" s="90"/>
      <c r="AE81" s="90"/>
      <c r="AF81" s="90"/>
      <c r="AG81" s="2"/>
      <c r="AH81" s="2"/>
      <c r="AI81" s="2"/>
      <c r="AJ81" s="2"/>
      <c r="AK81" s="2"/>
      <c r="AL81" s="2"/>
    </row>
    <row r="82" spans="1:38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:38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:38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</sheetData>
  <sheetProtection/>
  <mergeCells count="10">
    <mergeCell ref="B2:AH2"/>
    <mergeCell ref="D4:F4"/>
    <mergeCell ref="G4:I4"/>
    <mergeCell ref="J4:M4"/>
    <mergeCell ref="N4:Q4"/>
    <mergeCell ref="R4:U4"/>
    <mergeCell ref="V4:Y4"/>
    <mergeCell ref="Z4:AC4"/>
    <mergeCell ref="AD4:AG4"/>
    <mergeCell ref="B3:AH3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cp:lastPrinted>2016-05-11T14:56:53Z</cp:lastPrinted>
  <dcterms:created xsi:type="dcterms:W3CDTF">2016-05-05T14:09:21Z</dcterms:created>
  <dcterms:modified xsi:type="dcterms:W3CDTF">2016-05-11T14:57:49Z</dcterms:modified>
  <cp:category/>
  <cp:version/>
  <cp:contentType/>
  <cp:contentStatus/>
</cp:coreProperties>
</file>